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RUMEN8\Rumen8 Cost of forage production\"/>
    </mc:Choice>
  </mc:AlternateContent>
  <xr:revisionPtr revIDLastSave="0" documentId="8_{680A7EB0-C6CF-4F72-A9D1-DB24F7C0C03E}" xr6:coauthVersionLast="47" xr6:coauthVersionMax="47" xr10:uidLastSave="{00000000-0000-0000-0000-000000000000}"/>
  <bookViews>
    <workbookView xWindow="-107" yWindow="-107" windowWidth="20847" windowHeight="13250" activeTab="4" xr2:uid="{BDC92C07-F82A-4D32-9087-60839BCFAA68}"/>
  </bookViews>
  <sheets>
    <sheet name="Introduction" sheetId="2" r:id="rId1"/>
    <sheet name="Farm plot info" sheetId="3" r:id="rId2"/>
    <sheet name="Pre-planting costs" sheetId="6" r:id="rId3"/>
    <sheet name="Growing &amp; harvesting" sheetId="7" r:id="rId4"/>
    <sheet name="Outputs" sheetId="13" r:id="rId5"/>
    <sheet name="Silage info" sheetId="11" r:id="rId6"/>
    <sheet name="Feed library" sheetId="12" r:id="rId7"/>
    <sheet name="CALCULATIONS" sheetId="9" state="hidden" r:id="rId8"/>
    <sheet name="Validation tables" sheetId="5" state="hidden" r:id="rId9"/>
  </sheets>
  <definedNames>
    <definedName name="BailingMethods">Table9[Baling methods]</definedName>
    <definedName name="bush_clearing">#REF!</definedName>
    <definedName name="CompactionMethod">'Validation tables'!$AV$11:$AV$13</definedName>
    <definedName name="CompactionQuality">Table26[Silage Compaction degree]</definedName>
    <definedName name="Currency">#REF!</definedName>
    <definedName name="EnsilingMethods">Table10[Ensiling methods]</definedName>
    <definedName name="FirstCuttingActivitiesCosts">'Growing &amp; harvesting'!$D$10,'Growing &amp; harvesting'!$D$12,'Growing &amp; harvesting'!$D$14,'Growing &amp; harvesting'!$D$16,'Growing &amp; harvesting'!$D$18,'Growing &amp; harvesting'!$D$20,'Growing &amp; harvesting'!$D$22,'Growing &amp; harvesting'!$D$24,'Growing &amp; harvesting'!$D$26,'Growing &amp; harvesting'!$D$27,'Growing &amp; harvesting'!$D$31,'Growing &amp; harvesting'!$D$33,'Growing &amp; harvesting'!$D$35,'Growing &amp; harvesting'!$D$37,'Growing &amp; harvesting'!$D$39,'Growing &amp; harvesting'!#REF!,'Growing &amp; harvesting'!$D$40,'Growing &amp; harvesting'!$D$43:$D$47,'Growing &amp; harvesting'!$D$50:$D$55,'Growing &amp; harvesting'!$D$58,'Growing &amp; harvesting'!$D$60,'Growing &amp; harvesting'!$D$62,'Growing &amp; harvesting'!$D$64,'Growing &amp; harvesting'!$D$65</definedName>
    <definedName name="FirstCuttingInputCosts">'Growing &amp; harvesting'!$D$9,'Growing &amp; harvesting'!$D$11,'Growing &amp; harvesting'!$D$13,'Growing &amp; harvesting'!$D$15,'Growing &amp; harvesting'!$D$17,'Growing &amp; harvesting'!$D$19,'Growing &amp; harvesting'!$D$21,'Growing &amp; harvesting'!$D$23,'Growing &amp; harvesting'!$D$25,'Growing &amp; harvesting'!#REF!,'Growing &amp; harvesting'!$D$30,'Growing &amp; harvesting'!$D$32,'Growing &amp; harvesting'!$D$34,'Growing &amp; harvesting'!$D$36,'Growing &amp; harvesting'!$D$38,'Growing &amp; harvesting'!#REF!,'Growing &amp; harvesting'!#REF!,'Growing &amp; harvesting'!$D$57,'Growing &amp; harvesting'!$D$59,'Growing &amp; harvesting'!$D$61,'Growing &amp; harvesting'!$D$63,'Growing &amp; harvesting'!#REF!</definedName>
    <definedName name="FirstCuttingYieldType">'Growing &amp; harvesting'!$C$4</definedName>
    <definedName name="FirstCuttingYieldValue">'Growing &amp; harvesting'!$D$4</definedName>
    <definedName name="Forage_crop">#REF!</definedName>
    <definedName name="ForageCrop">#REF!</definedName>
    <definedName name="Growth_pattern">#REF!</definedName>
    <definedName name="HarvestingActivity">'Validation tables'!$AQ$3:$AQ$5</definedName>
    <definedName name="LandTenure">Table15[Land tenure]</definedName>
    <definedName name="LandTenureCost">'Farm plot info'!$C$18</definedName>
    <definedName name="Mandays">#REF!</definedName>
    <definedName name="Manual">#REF!</definedName>
    <definedName name="ManualMechanical">Table8[Column1]</definedName>
    <definedName name="None_selective_herbicide">#REF!</definedName>
    <definedName name="PlotSizeHa">'Farm plot info'!$C$10</definedName>
    <definedName name="PrePlantingActivitiesCosts">'Pre-planting costs'!$D$4:$D$6,'Pre-planting costs'!$D$9:$D$13,'Pre-planting costs'!$D$16:$D$21,'Pre-planting costs'!$D$24:$D$27</definedName>
    <definedName name="PrePlantingInputsCosts">'Pre-planting costs'!$D$3,'Pre-planting costs'!$D$8,'Pre-planting costs'!$D$15,'Pre-planting costs'!$D$23</definedName>
    <definedName name="_xlnm.Print_Area" localSheetId="4">Outputs!$A$1:$H$53</definedName>
    <definedName name="QualityRanking">Table40[Quality ranking]</definedName>
    <definedName name="SecondCuttingYieldType">#REF!</definedName>
    <definedName name="SelectedCurrency">'Farm plot info'!$C$7</definedName>
    <definedName name="Silo">#REF!</definedName>
    <definedName name="Years">Table29[years]</definedName>
    <definedName name="YearsOfProduction">#REF!</definedName>
    <definedName name="YesNo">Table14[Column1]</definedName>
    <definedName name="YieldUnit">Table39[Yield unit]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9" l="1"/>
  <c r="E61" i="9"/>
  <c r="E62" i="9"/>
  <c r="E63" i="9"/>
  <c r="E64" i="9"/>
  <c r="C60" i="9"/>
  <c r="C61" i="9"/>
  <c r="C62" i="9"/>
  <c r="C63" i="9"/>
  <c r="C64" i="9"/>
  <c r="F60" i="9"/>
  <c r="F61" i="9"/>
  <c r="F62" i="9"/>
  <c r="F63" i="9"/>
  <c r="F64" i="9"/>
  <c r="G60" i="9"/>
  <c r="G61" i="9"/>
  <c r="G62" i="9"/>
  <c r="G63" i="9"/>
  <c r="G64" i="9"/>
  <c r="H60" i="9"/>
  <c r="H61" i="9"/>
  <c r="H62" i="9"/>
  <c r="H63" i="9"/>
  <c r="H64" i="9"/>
  <c r="I60" i="9"/>
  <c r="I61" i="9"/>
  <c r="I62" i="9"/>
  <c r="I63" i="9"/>
  <c r="I64" i="9"/>
  <c r="J60" i="9"/>
  <c r="J61" i="9"/>
  <c r="J62" i="9"/>
  <c r="J63" i="9"/>
  <c r="J64" i="9"/>
  <c r="K60" i="9"/>
  <c r="K61" i="9"/>
  <c r="K62" i="9"/>
  <c r="K63" i="9"/>
  <c r="K64" i="9"/>
  <c r="L60" i="9"/>
  <c r="L61" i="9"/>
  <c r="L62" i="9"/>
  <c r="L63" i="9"/>
  <c r="L64" i="9"/>
  <c r="M60" i="9"/>
  <c r="M61" i="9"/>
  <c r="M62" i="9"/>
  <c r="M63" i="9"/>
  <c r="M64" i="9"/>
  <c r="N60" i="9"/>
  <c r="N61" i="9"/>
  <c r="N62" i="9"/>
  <c r="N63" i="9"/>
  <c r="N64" i="9"/>
  <c r="O60" i="9"/>
  <c r="O61" i="9"/>
  <c r="O62" i="9"/>
  <c r="O63" i="9"/>
  <c r="O64" i="9"/>
  <c r="P60" i="9"/>
  <c r="P61" i="9"/>
  <c r="P62" i="9"/>
  <c r="P63" i="9"/>
  <c r="P64" i="9"/>
  <c r="Q60" i="9"/>
  <c r="Q61" i="9"/>
  <c r="Q62" i="9"/>
  <c r="Q63" i="9"/>
  <c r="Q64" i="9"/>
  <c r="R60" i="9"/>
  <c r="R61" i="9"/>
  <c r="R62" i="9"/>
  <c r="R63" i="9"/>
  <c r="R64" i="9"/>
  <c r="S60" i="9"/>
  <c r="S61" i="9"/>
  <c r="S62" i="9"/>
  <c r="S63" i="9"/>
  <c r="S64" i="9"/>
  <c r="H8" i="9"/>
  <c r="C53" i="9"/>
  <c r="C54" i="9"/>
  <c r="C55" i="9"/>
  <c r="C56" i="9"/>
  <c r="C57" i="9"/>
  <c r="C58" i="9"/>
  <c r="F53" i="9"/>
  <c r="F54" i="9"/>
  <c r="F55" i="9"/>
  <c r="F56" i="9"/>
  <c r="F57" i="9"/>
  <c r="F58" i="9"/>
  <c r="H53" i="9"/>
  <c r="H54" i="9"/>
  <c r="H55" i="9"/>
  <c r="H56" i="9"/>
  <c r="H57" i="9"/>
  <c r="H58" i="9"/>
  <c r="J53" i="9"/>
  <c r="J54" i="9"/>
  <c r="J55" i="9"/>
  <c r="J56" i="9"/>
  <c r="J57" i="9"/>
  <c r="J58" i="9"/>
  <c r="L53" i="9"/>
  <c r="L54" i="9"/>
  <c r="L55" i="9"/>
  <c r="L56" i="9"/>
  <c r="L57" i="9"/>
  <c r="L58" i="9"/>
  <c r="N53" i="9"/>
  <c r="N54" i="9"/>
  <c r="N55" i="9"/>
  <c r="N56" i="9"/>
  <c r="N57" i="9"/>
  <c r="N58" i="9"/>
  <c r="P53" i="9"/>
  <c r="P54" i="9"/>
  <c r="P55" i="9"/>
  <c r="P56" i="9"/>
  <c r="P57" i="9"/>
  <c r="P58" i="9"/>
  <c r="R53" i="9"/>
  <c r="R54" i="9"/>
  <c r="R55" i="9"/>
  <c r="R56" i="9"/>
  <c r="R57" i="9"/>
  <c r="R58" i="9"/>
  <c r="H7" i="9"/>
  <c r="C47" i="9"/>
  <c r="C48" i="9"/>
  <c r="C49" i="9"/>
  <c r="C50" i="9"/>
  <c r="F47" i="9"/>
  <c r="F48" i="9"/>
  <c r="F49" i="9"/>
  <c r="F50" i="9"/>
  <c r="H47" i="9"/>
  <c r="H48" i="9"/>
  <c r="H49" i="9"/>
  <c r="H50" i="9"/>
  <c r="J47" i="9"/>
  <c r="J48" i="9"/>
  <c r="J49" i="9"/>
  <c r="J50" i="9"/>
  <c r="L47" i="9"/>
  <c r="L48" i="9"/>
  <c r="L49" i="9"/>
  <c r="L50" i="9"/>
  <c r="N47" i="9"/>
  <c r="N48" i="9"/>
  <c r="N49" i="9"/>
  <c r="N50" i="9"/>
  <c r="P47" i="9"/>
  <c r="P48" i="9"/>
  <c r="P49" i="9"/>
  <c r="P50" i="9"/>
  <c r="R47" i="9"/>
  <c r="R48" i="9"/>
  <c r="R49" i="9"/>
  <c r="R50" i="9"/>
  <c r="H6" i="9"/>
  <c r="E39" i="9"/>
  <c r="E40" i="9"/>
  <c r="E41" i="9"/>
  <c r="E42" i="9"/>
  <c r="E43" i="9"/>
  <c r="E45" i="9"/>
  <c r="G39" i="9"/>
  <c r="G40" i="9"/>
  <c r="G41" i="9"/>
  <c r="G42" i="9"/>
  <c r="G43" i="9"/>
  <c r="G45" i="9"/>
  <c r="C39" i="9"/>
  <c r="C40" i="9"/>
  <c r="C41" i="9"/>
  <c r="C42" i="9"/>
  <c r="C43" i="9"/>
  <c r="C45" i="9"/>
  <c r="F39" i="9"/>
  <c r="F40" i="9"/>
  <c r="F41" i="9"/>
  <c r="F42" i="9"/>
  <c r="F43" i="9"/>
  <c r="F45" i="9"/>
  <c r="H39" i="9"/>
  <c r="H40" i="9"/>
  <c r="H41" i="9"/>
  <c r="H42" i="9"/>
  <c r="H43" i="9"/>
  <c r="H45" i="9"/>
  <c r="I39" i="9"/>
  <c r="I40" i="9"/>
  <c r="I41" i="9"/>
  <c r="I42" i="9"/>
  <c r="I43" i="9"/>
  <c r="I45" i="9"/>
  <c r="J39" i="9"/>
  <c r="J40" i="9"/>
  <c r="J41" i="9"/>
  <c r="J42" i="9"/>
  <c r="J43" i="9"/>
  <c r="J45" i="9"/>
  <c r="K39" i="9"/>
  <c r="K40" i="9"/>
  <c r="K41" i="9"/>
  <c r="K42" i="9"/>
  <c r="K43" i="9"/>
  <c r="K45" i="9"/>
  <c r="L39" i="9"/>
  <c r="L40" i="9"/>
  <c r="L41" i="9"/>
  <c r="L42" i="9"/>
  <c r="L43" i="9"/>
  <c r="L45" i="9"/>
  <c r="M39" i="9"/>
  <c r="M40" i="9"/>
  <c r="M41" i="9"/>
  <c r="M42" i="9"/>
  <c r="M43" i="9"/>
  <c r="M45" i="9"/>
  <c r="N39" i="9"/>
  <c r="N40" i="9"/>
  <c r="N41" i="9"/>
  <c r="N42" i="9"/>
  <c r="N43" i="9"/>
  <c r="N45" i="9"/>
  <c r="O39" i="9"/>
  <c r="O40" i="9"/>
  <c r="O41" i="9"/>
  <c r="O42" i="9"/>
  <c r="O43" i="9"/>
  <c r="O45" i="9"/>
  <c r="P39" i="9"/>
  <c r="P40" i="9"/>
  <c r="P41" i="9"/>
  <c r="P42" i="9"/>
  <c r="P43" i="9"/>
  <c r="P45" i="9"/>
  <c r="Q39" i="9"/>
  <c r="Q40" i="9"/>
  <c r="Q41" i="9"/>
  <c r="Q42" i="9"/>
  <c r="Q43" i="9"/>
  <c r="Q45" i="9"/>
  <c r="R39" i="9"/>
  <c r="R40" i="9"/>
  <c r="R41" i="9"/>
  <c r="R42" i="9"/>
  <c r="R43" i="9"/>
  <c r="R45" i="9"/>
  <c r="S39" i="9"/>
  <c r="S40" i="9"/>
  <c r="S41" i="9"/>
  <c r="S42" i="9"/>
  <c r="S43" i="9"/>
  <c r="S45" i="9"/>
  <c r="H5" i="9"/>
  <c r="E26" i="9"/>
  <c r="E27" i="9"/>
  <c r="E28" i="9"/>
  <c r="E29" i="9"/>
  <c r="E30" i="9"/>
  <c r="E31" i="9"/>
  <c r="E32" i="9"/>
  <c r="E37" i="9"/>
  <c r="C26" i="9"/>
  <c r="C27" i="9"/>
  <c r="C28" i="9"/>
  <c r="C29" i="9"/>
  <c r="C30" i="9"/>
  <c r="C31" i="9"/>
  <c r="C32" i="9"/>
  <c r="C33" i="9"/>
  <c r="C34" i="9"/>
  <c r="C37" i="9"/>
  <c r="F26" i="9"/>
  <c r="F27" i="9"/>
  <c r="F28" i="9"/>
  <c r="F29" i="9"/>
  <c r="F30" i="9"/>
  <c r="F31" i="9"/>
  <c r="F32" i="9"/>
  <c r="F33" i="9"/>
  <c r="F34" i="9"/>
  <c r="F37" i="9"/>
  <c r="G26" i="9"/>
  <c r="G27" i="9"/>
  <c r="G28" i="9"/>
  <c r="G29" i="9"/>
  <c r="G30" i="9"/>
  <c r="G31" i="9"/>
  <c r="G32" i="9"/>
  <c r="G33" i="9"/>
  <c r="G34" i="9"/>
  <c r="G37" i="9"/>
  <c r="H26" i="9"/>
  <c r="H27" i="9"/>
  <c r="H28" i="9"/>
  <c r="H29" i="9"/>
  <c r="H30" i="9"/>
  <c r="H31" i="9"/>
  <c r="H32" i="9"/>
  <c r="H33" i="9"/>
  <c r="H34" i="9"/>
  <c r="H37" i="9"/>
  <c r="I26" i="9"/>
  <c r="I27" i="9"/>
  <c r="I28" i="9"/>
  <c r="I29" i="9"/>
  <c r="I30" i="9"/>
  <c r="I31" i="9"/>
  <c r="I32" i="9"/>
  <c r="I37" i="9"/>
  <c r="J26" i="9"/>
  <c r="J27" i="9"/>
  <c r="J28" i="9"/>
  <c r="J29" i="9"/>
  <c r="J30" i="9"/>
  <c r="J31" i="9"/>
  <c r="J32" i="9"/>
  <c r="J33" i="9"/>
  <c r="J34" i="9"/>
  <c r="J37" i="9"/>
  <c r="K26" i="9"/>
  <c r="K27" i="9"/>
  <c r="K28" i="9"/>
  <c r="K29" i="9"/>
  <c r="K30" i="9"/>
  <c r="K31" i="9"/>
  <c r="K32" i="9"/>
  <c r="K37" i="9"/>
  <c r="L26" i="9"/>
  <c r="L27" i="9"/>
  <c r="L28" i="9"/>
  <c r="L29" i="9"/>
  <c r="L30" i="9"/>
  <c r="L31" i="9"/>
  <c r="L32" i="9"/>
  <c r="L33" i="9"/>
  <c r="L34" i="9"/>
  <c r="L37" i="9"/>
  <c r="M26" i="9"/>
  <c r="M27" i="9"/>
  <c r="M28" i="9"/>
  <c r="M29" i="9"/>
  <c r="M30" i="9"/>
  <c r="M31" i="9"/>
  <c r="M32" i="9"/>
  <c r="M33" i="9"/>
  <c r="M34" i="9"/>
  <c r="M37" i="9"/>
  <c r="N26" i="9"/>
  <c r="N27" i="9"/>
  <c r="N28" i="9"/>
  <c r="N29" i="9"/>
  <c r="N30" i="9"/>
  <c r="N31" i="9"/>
  <c r="N32" i="9"/>
  <c r="N33" i="9"/>
  <c r="N34" i="9"/>
  <c r="N37" i="9"/>
  <c r="O26" i="9"/>
  <c r="O27" i="9"/>
  <c r="O28" i="9"/>
  <c r="O29" i="9"/>
  <c r="O30" i="9"/>
  <c r="O31" i="9"/>
  <c r="O32" i="9"/>
  <c r="O33" i="9"/>
  <c r="O34" i="9"/>
  <c r="O37" i="9"/>
  <c r="P26" i="9"/>
  <c r="P27" i="9"/>
  <c r="P28" i="9"/>
  <c r="P29" i="9"/>
  <c r="P30" i="9"/>
  <c r="P31" i="9"/>
  <c r="P32" i="9"/>
  <c r="P33" i="9"/>
  <c r="P34" i="9"/>
  <c r="P37" i="9"/>
  <c r="Q26" i="9"/>
  <c r="Q27" i="9"/>
  <c r="Q28" i="9"/>
  <c r="Q29" i="9"/>
  <c r="Q30" i="9"/>
  <c r="Q31" i="9"/>
  <c r="Q32" i="9"/>
  <c r="Q33" i="9"/>
  <c r="Q34" i="9"/>
  <c r="Q37" i="9"/>
  <c r="R26" i="9"/>
  <c r="R27" i="9"/>
  <c r="R28" i="9"/>
  <c r="R29" i="9"/>
  <c r="R30" i="9"/>
  <c r="R31" i="9"/>
  <c r="R32" i="9"/>
  <c r="R33" i="9"/>
  <c r="R34" i="9"/>
  <c r="R37" i="9"/>
  <c r="S26" i="9"/>
  <c r="S27" i="9"/>
  <c r="S28" i="9"/>
  <c r="S29" i="9"/>
  <c r="S30" i="9"/>
  <c r="S31" i="9"/>
  <c r="S32" i="9"/>
  <c r="S33" i="9"/>
  <c r="S34" i="9"/>
  <c r="S37" i="9"/>
  <c r="H4" i="9"/>
  <c r="C7" i="9"/>
  <c r="C8" i="9"/>
  <c r="C9" i="9"/>
  <c r="C11" i="9"/>
  <c r="C12" i="9"/>
  <c r="C13" i="9"/>
  <c r="C14" i="9"/>
  <c r="C15" i="9"/>
  <c r="C17" i="9"/>
  <c r="C18" i="9"/>
  <c r="C19" i="9"/>
  <c r="C20" i="9"/>
  <c r="C21" i="9"/>
  <c r="C22" i="9"/>
  <c r="C23" i="9"/>
  <c r="H3" i="9"/>
  <c r="E25" i="13"/>
  <c r="E26" i="13"/>
  <c r="E27" i="13"/>
  <c r="E28" i="13"/>
  <c r="E29" i="13"/>
  <c r="E30" i="13"/>
  <c r="E31" i="13"/>
  <c r="E32" i="13"/>
  <c r="E34" i="13"/>
  <c r="C10" i="3"/>
  <c r="E36" i="13"/>
  <c r="C11" i="3"/>
  <c r="E37" i="13"/>
  <c r="D25" i="13"/>
  <c r="D26" i="13"/>
  <c r="D27" i="13"/>
  <c r="D28" i="13"/>
  <c r="D29" i="13"/>
  <c r="D30" i="13"/>
  <c r="D31" i="13"/>
  <c r="D32" i="13"/>
  <c r="D34" i="13"/>
  <c r="D36" i="13"/>
  <c r="D37" i="13"/>
  <c r="B44" i="13"/>
  <c r="B23" i="13"/>
  <c r="B24" i="13"/>
  <c r="E66" i="9"/>
  <c r="B25" i="13"/>
  <c r="G66" i="9"/>
  <c r="B26" i="13"/>
  <c r="I66" i="9"/>
  <c r="B27" i="13"/>
  <c r="K66" i="9"/>
  <c r="B28" i="13"/>
  <c r="M66" i="9"/>
  <c r="B29" i="13"/>
  <c r="O66" i="9"/>
  <c r="B30" i="13"/>
  <c r="Q66" i="9"/>
  <c r="B31" i="13"/>
  <c r="S66" i="9"/>
  <c r="B32" i="13"/>
  <c r="B34" i="13"/>
  <c r="C24" i="13"/>
  <c r="C66" i="9"/>
  <c r="C25" i="13"/>
  <c r="F66" i="9"/>
  <c r="C26" i="13"/>
  <c r="H66" i="9"/>
  <c r="C27" i="13"/>
  <c r="J66" i="9"/>
  <c r="C28" i="13"/>
  <c r="L66" i="9"/>
  <c r="C29" i="13"/>
  <c r="N66" i="9"/>
  <c r="C30" i="13"/>
  <c r="P66" i="9"/>
  <c r="C31" i="13"/>
  <c r="R66" i="9"/>
  <c r="C32" i="13"/>
  <c r="C34" i="13"/>
  <c r="E45" i="13" s="1"/>
  <c r="F9" i="12"/>
  <c r="H9" i="12"/>
  <c r="E41" i="13"/>
  <c r="E43" i="13" s="1"/>
  <c r="J9" i="12"/>
  <c r="E18" i="9"/>
  <c r="E7" i="9"/>
  <c r="E11" i="9"/>
  <c r="E23" i="9"/>
  <c r="E68" i="9"/>
  <c r="C68" i="9"/>
  <c r="G68" i="9"/>
  <c r="F68" i="9"/>
  <c r="H68" i="9"/>
  <c r="I68" i="9"/>
  <c r="J68" i="9"/>
  <c r="K68" i="9"/>
  <c r="L68" i="9"/>
  <c r="M68" i="9"/>
  <c r="N68" i="9"/>
  <c r="O68" i="9"/>
  <c r="P68" i="9"/>
  <c r="Q68" i="9"/>
  <c r="R68" i="9"/>
  <c r="S68" i="9"/>
  <c r="C69" i="9"/>
  <c r="B47" i="13"/>
  <c r="B48" i="13"/>
  <c r="B50" i="13"/>
  <c r="B49" i="13"/>
  <c r="V3" i="9"/>
  <c r="B75" i="9"/>
  <c r="B73" i="9"/>
  <c r="X3" i="9"/>
  <c r="V7" i="9"/>
  <c r="W7" i="9"/>
  <c r="X7" i="9"/>
  <c r="L144" i="12"/>
  <c r="L143" i="12"/>
  <c r="L142" i="12"/>
  <c r="L141" i="12"/>
  <c r="L140" i="12"/>
  <c r="L139" i="12"/>
  <c r="L138" i="12"/>
  <c r="L137" i="12"/>
  <c r="L136" i="12"/>
  <c r="L135" i="12"/>
  <c r="L134" i="12"/>
  <c r="L133" i="12"/>
  <c r="L132" i="12"/>
  <c r="L131" i="12"/>
  <c r="L130" i="12"/>
  <c r="L129" i="12"/>
  <c r="L128" i="12"/>
  <c r="L127" i="12"/>
  <c r="L126" i="12"/>
  <c r="L125" i="12"/>
  <c r="L124" i="12"/>
  <c r="L123" i="12"/>
  <c r="L122" i="12"/>
  <c r="L121" i="12"/>
  <c r="L120" i="12"/>
  <c r="L119" i="12"/>
  <c r="L118" i="12"/>
  <c r="L117" i="12"/>
  <c r="L116" i="12"/>
  <c r="L115" i="12"/>
  <c r="L114" i="12"/>
  <c r="L113" i="12"/>
  <c r="L112" i="12"/>
  <c r="L111" i="12"/>
  <c r="L110" i="12"/>
  <c r="L109" i="12"/>
  <c r="L108" i="12"/>
  <c r="L107" i="12"/>
  <c r="L106" i="12"/>
  <c r="L105" i="12"/>
  <c r="L104" i="12"/>
  <c r="L103" i="12"/>
  <c r="L102" i="12"/>
  <c r="L101" i="12"/>
  <c r="L100" i="12"/>
  <c r="L99" i="12"/>
  <c r="L98" i="12"/>
  <c r="L97" i="12"/>
  <c r="L96" i="12"/>
  <c r="L95" i="12"/>
  <c r="L94" i="12"/>
  <c r="L93" i="12"/>
  <c r="L92" i="12"/>
  <c r="L91" i="12"/>
  <c r="L90" i="12"/>
  <c r="L89" i="12"/>
  <c r="L88" i="12"/>
  <c r="L87" i="12"/>
  <c r="L86" i="12"/>
  <c r="L85" i="12"/>
  <c r="L84" i="12"/>
  <c r="L83" i="12"/>
  <c r="L82" i="12"/>
  <c r="L81" i="12"/>
  <c r="L80" i="12"/>
  <c r="L79" i="12"/>
  <c r="L78" i="12"/>
  <c r="L77" i="12"/>
  <c r="L76" i="12"/>
  <c r="L75" i="12"/>
  <c r="L74" i="12"/>
  <c r="L73" i="12"/>
  <c r="L72" i="12"/>
  <c r="L71" i="12"/>
  <c r="L70" i="12"/>
  <c r="L69" i="12"/>
  <c r="L68" i="12"/>
  <c r="L67" i="12"/>
  <c r="L66" i="12"/>
  <c r="L65" i="12"/>
  <c r="L64" i="12"/>
  <c r="L63" i="12"/>
  <c r="L62" i="12"/>
  <c r="L61" i="12"/>
  <c r="L60" i="12"/>
  <c r="L59" i="12"/>
  <c r="L58" i="12"/>
  <c r="L57" i="12"/>
  <c r="L56" i="12"/>
  <c r="L55" i="12"/>
  <c r="L54" i="12"/>
  <c r="L53" i="12"/>
  <c r="L52" i="12"/>
  <c r="L51" i="12"/>
  <c r="L50" i="12"/>
  <c r="L49" i="12"/>
  <c r="L48" i="12"/>
  <c r="J144" i="12"/>
  <c r="J143" i="12"/>
  <c r="J142" i="12"/>
  <c r="J141" i="12"/>
  <c r="J140" i="12"/>
  <c r="J139" i="12"/>
  <c r="J138" i="12"/>
  <c r="J137" i="12"/>
  <c r="J136" i="12"/>
  <c r="J135" i="12"/>
  <c r="J134" i="12"/>
  <c r="J133" i="12"/>
  <c r="J132" i="12"/>
  <c r="J131" i="12"/>
  <c r="J130" i="12"/>
  <c r="J129" i="12"/>
  <c r="J128" i="12"/>
  <c r="J127" i="12"/>
  <c r="J126" i="12"/>
  <c r="J125" i="12"/>
  <c r="J124" i="12"/>
  <c r="J123" i="12"/>
  <c r="J122" i="12"/>
  <c r="J121" i="12"/>
  <c r="J120" i="12"/>
  <c r="J119" i="12"/>
  <c r="J118" i="12"/>
  <c r="J117" i="12"/>
  <c r="J116" i="12"/>
  <c r="J115" i="12"/>
  <c r="J114" i="12"/>
  <c r="J113" i="12"/>
  <c r="J112" i="12"/>
  <c r="J111" i="12"/>
  <c r="J110" i="12"/>
  <c r="J109" i="12"/>
  <c r="J108" i="12"/>
  <c r="J107" i="12"/>
  <c r="J106" i="12"/>
  <c r="J105" i="12"/>
  <c r="J104" i="12"/>
  <c r="J103" i="12"/>
  <c r="J102" i="12"/>
  <c r="J101" i="12"/>
  <c r="J100" i="12"/>
  <c r="J99" i="12"/>
  <c r="J98" i="12"/>
  <c r="J97" i="12"/>
  <c r="J96" i="12"/>
  <c r="J95" i="12"/>
  <c r="J94" i="12"/>
  <c r="J93" i="12"/>
  <c r="J92" i="12"/>
  <c r="J91" i="12"/>
  <c r="J90" i="12"/>
  <c r="J89" i="12"/>
  <c r="J88" i="12"/>
  <c r="J87" i="12"/>
  <c r="J86" i="12"/>
  <c r="J85" i="12"/>
  <c r="J84" i="12"/>
  <c r="J83" i="12"/>
  <c r="J82" i="12"/>
  <c r="J81" i="12"/>
  <c r="J80" i="12"/>
  <c r="J79" i="12"/>
  <c r="J78" i="12"/>
  <c r="J77" i="12"/>
  <c r="J76" i="12"/>
  <c r="J75" i="12"/>
  <c r="J74" i="12"/>
  <c r="J73" i="12"/>
  <c r="J72" i="12"/>
  <c r="J71" i="12"/>
  <c r="J70" i="12"/>
  <c r="J69" i="12"/>
  <c r="J68" i="12"/>
  <c r="J67" i="12"/>
  <c r="J66" i="12"/>
  <c r="J65" i="12"/>
  <c r="J64" i="12"/>
  <c r="J63" i="12"/>
  <c r="J62" i="12"/>
  <c r="J61" i="12"/>
  <c r="J60" i="12"/>
  <c r="J59" i="12"/>
  <c r="J58" i="12"/>
  <c r="J57" i="12"/>
  <c r="J56" i="12"/>
  <c r="J55" i="12"/>
  <c r="J54" i="12"/>
  <c r="J53" i="12"/>
  <c r="J52" i="12"/>
  <c r="J51" i="12"/>
  <c r="J50" i="12"/>
  <c r="J49" i="12"/>
  <c r="J48" i="12"/>
  <c r="H144" i="12"/>
  <c r="H143" i="12"/>
  <c r="H142" i="12"/>
  <c r="H141" i="12"/>
  <c r="H140" i="12"/>
  <c r="H139" i="12"/>
  <c r="H138" i="12"/>
  <c r="H137" i="12"/>
  <c r="H136" i="12"/>
  <c r="H135" i="12"/>
  <c r="H134" i="12"/>
  <c r="H133" i="12"/>
  <c r="H132" i="12"/>
  <c r="H131" i="12"/>
  <c r="H130" i="12"/>
  <c r="H129" i="12"/>
  <c r="H128" i="12"/>
  <c r="H127" i="12"/>
  <c r="H126" i="12"/>
  <c r="H125" i="12"/>
  <c r="H124" i="12"/>
  <c r="H123" i="12"/>
  <c r="H122" i="12"/>
  <c r="H121" i="12"/>
  <c r="H120" i="12"/>
  <c r="H119" i="12"/>
  <c r="H118" i="12"/>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119" i="12"/>
  <c r="F118" i="12"/>
  <c r="F117" i="12"/>
  <c r="F116" i="12"/>
  <c r="F115" i="12"/>
  <c r="F114" i="12"/>
  <c r="F113" i="12"/>
  <c r="F112" i="12"/>
  <c r="F111" i="12"/>
  <c r="F110" i="12"/>
  <c r="F109" i="12"/>
  <c r="F108" i="12"/>
  <c r="F107" i="12"/>
  <c r="F106" i="12"/>
  <c r="F105" i="12"/>
  <c r="F104" i="12"/>
  <c r="F103" i="12"/>
  <c r="F102" i="12"/>
  <c r="F101" i="12"/>
  <c r="F100" i="12"/>
  <c r="F99" i="12"/>
  <c r="F98" i="12"/>
  <c r="F97" i="12"/>
  <c r="F96" i="12"/>
  <c r="F95" i="12"/>
  <c r="F94" i="12"/>
  <c r="F93" i="12"/>
  <c r="F92" i="12"/>
  <c r="F91" i="12"/>
  <c r="F90" i="12"/>
  <c r="F89" i="12"/>
  <c r="F88" i="12"/>
  <c r="F87" i="12"/>
  <c r="F86" i="12"/>
  <c r="F85" i="12"/>
  <c r="F84" i="12"/>
  <c r="F83" i="12"/>
  <c r="F82" i="12"/>
  <c r="F81" i="12"/>
  <c r="F80" i="12"/>
  <c r="F79" i="12"/>
  <c r="F78" i="12"/>
  <c r="F77" i="12"/>
  <c r="F76" i="12"/>
  <c r="F75" i="12"/>
  <c r="F74" i="12"/>
  <c r="F73" i="12"/>
  <c r="F72" i="12"/>
  <c r="F71" i="12"/>
  <c r="F70" i="12"/>
  <c r="F69" i="12"/>
  <c r="F68" i="12"/>
  <c r="F67" i="12"/>
  <c r="F66" i="12"/>
  <c r="F65" i="12"/>
  <c r="F64" i="12"/>
  <c r="F63" i="12"/>
  <c r="F62" i="12"/>
  <c r="F61" i="12"/>
  <c r="F60" i="12"/>
  <c r="F59" i="12"/>
  <c r="F58" i="12"/>
  <c r="F57" i="12"/>
  <c r="F56" i="12"/>
  <c r="F55" i="12"/>
  <c r="F54" i="12"/>
  <c r="F53" i="12"/>
  <c r="F52" i="12"/>
  <c r="F51" i="12"/>
  <c r="F50" i="12"/>
  <c r="F49" i="12"/>
  <c r="F48" i="12"/>
  <c r="C1" i="7"/>
  <c r="R5" i="7"/>
  <c r="P5" i="7"/>
  <c r="N5" i="7"/>
  <c r="L5" i="7"/>
  <c r="J5" i="7"/>
  <c r="H5" i="7"/>
  <c r="F5" i="7"/>
  <c r="D5" i="7"/>
  <c r="L25" i="12"/>
  <c r="F25" i="12"/>
  <c r="L47" i="12"/>
  <c r="L46" i="12"/>
  <c r="L45" i="12"/>
  <c r="L44" i="12"/>
  <c r="L43" i="12"/>
  <c r="L42" i="12"/>
  <c r="L41" i="12"/>
  <c r="L40" i="12"/>
  <c r="L39" i="12"/>
  <c r="L38" i="12"/>
  <c r="L37" i="12"/>
  <c r="L36" i="12"/>
  <c r="L35" i="12"/>
  <c r="L34" i="12"/>
  <c r="L33" i="12"/>
  <c r="L32" i="12"/>
  <c r="L31" i="12"/>
  <c r="L30" i="12"/>
  <c r="L29" i="12"/>
  <c r="L28" i="12"/>
  <c r="L27" i="12"/>
  <c r="L26" i="12"/>
  <c r="L24" i="12"/>
  <c r="L23" i="12"/>
  <c r="L22" i="12"/>
  <c r="L21" i="12"/>
  <c r="L20" i="12"/>
  <c r="L19" i="12"/>
  <c r="L18" i="12"/>
  <c r="L17" i="12"/>
  <c r="L16" i="12"/>
  <c r="L15" i="12"/>
  <c r="L14" i="12"/>
  <c r="L13" i="12"/>
  <c r="L12" i="12"/>
  <c r="L11" i="12"/>
  <c r="L10" i="12"/>
  <c r="L9" i="12"/>
  <c r="L8" i="12"/>
  <c r="L7" i="12"/>
  <c r="L6" i="12"/>
  <c r="L5" i="12"/>
  <c r="J47" i="12"/>
  <c r="J46" i="12"/>
  <c r="J45" i="12"/>
  <c r="J44" i="12"/>
  <c r="J43" i="12"/>
  <c r="J42" i="12"/>
  <c r="J41" i="12"/>
  <c r="J40" i="12"/>
  <c r="J39" i="12"/>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J11" i="12"/>
  <c r="J10" i="12"/>
  <c r="J8" i="12"/>
  <c r="J7" i="12"/>
  <c r="J6" i="12"/>
  <c r="J5"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8" i="12"/>
  <c r="H7" i="12"/>
  <c r="H6" i="12"/>
  <c r="H5" i="12"/>
  <c r="F47" i="12"/>
  <c r="F46" i="12"/>
  <c r="F45" i="12"/>
  <c r="F44" i="12"/>
  <c r="F43" i="12"/>
  <c r="F42" i="12"/>
  <c r="F41" i="12"/>
  <c r="F40" i="12"/>
  <c r="F39" i="12"/>
  <c r="F38" i="12"/>
  <c r="F37" i="12"/>
  <c r="F36" i="12"/>
  <c r="F35" i="12"/>
  <c r="F34" i="12"/>
  <c r="F33" i="12"/>
  <c r="F32" i="12"/>
  <c r="F31" i="12"/>
  <c r="F30" i="12"/>
  <c r="F29" i="12"/>
  <c r="F28" i="12"/>
  <c r="F27" i="12"/>
  <c r="F26" i="12"/>
  <c r="F24" i="12"/>
  <c r="F23" i="12"/>
  <c r="F22" i="12"/>
  <c r="F21" i="12"/>
  <c r="F20" i="12"/>
  <c r="F19" i="12"/>
  <c r="F18" i="12"/>
  <c r="F17" i="12"/>
  <c r="F16" i="12"/>
  <c r="F15" i="12"/>
  <c r="F14" i="12"/>
  <c r="F13" i="12"/>
  <c r="F12" i="12"/>
  <c r="F11" i="12"/>
  <c r="F10" i="12"/>
  <c r="F8" i="12"/>
  <c r="F7" i="12"/>
  <c r="F6" i="12"/>
  <c r="F5" i="12"/>
  <c r="L4" i="12"/>
  <c r="J4" i="12"/>
  <c r="H4" i="12"/>
  <c r="F4" i="12"/>
  <c r="B51" i="13"/>
  <c r="V9" i="9"/>
  <c r="C5" i="9"/>
  <c r="W3" i="9"/>
  <c r="B21" i="13"/>
  <c r="K34" i="9"/>
  <c r="K33" i="9"/>
  <c r="I34" i="9"/>
  <c r="I33" i="9"/>
  <c r="R28" i="7"/>
  <c r="R41" i="7"/>
  <c r="R66" i="7"/>
  <c r="R67" i="7"/>
  <c r="P28" i="7"/>
  <c r="P41" i="7"/>
  <c r="P66" i="7"/>
  <c r="P67" i="7"/>
  <c r="N28" i="7"/>
  <c r="N41" i="7"/>
  <c r="N66" i="7"/>
  <c r="N67" i="7"/>
  <c r="L28" i="7"/>
  <c r="L41" i="7"/>
  <c r="L66" i="7"/>
  <c r="L67" i="7"/>
  <c r="J28" i="7"/>
  <c r="J41" i="7"/>
  <c r="J66" i="7"/>
  <c r="J67" i="7"/>
  <c r="H28" i="7"/>
  <c r="H41" i="7"/>
  <c r="H66" i="7"/>
  <c r="H67" i="7"/>
  <c r="F28" i="7"/>
  <c r="F41" i="7"/>
  <c r="F66" i="7"/>
  <c r="F67" i="7"/>
  <c r="D7" i="9"/>
  <c r="B16" i="13"/>
  <c r="B15" i="13"/>
  <c r="B14" i="13"/>
  <c r="B13" i="13"/>
  <c r="C70" i="9"/>
  <c r="B52" i="13"/>
  <c r="C71" i="9"/>
  <c r="B17" i="13"/>
  <c r="B77" i="9"/>
  <c r="B12" i="13"/>
  <c r="B11" i="13"/>
  <c r="B10" i="13"/>
  <c r="B9" i="13"/>
  <c r="B8" i="13"/>
  <c r="B7" i="13"/>
  <c r="B6" i="13"/>
  <c r="E34" i="9"/>
  <c r="E33" i="9"/>
  <c r="D18" i="9"/>
  <c r="D11" i="9"/>
  <c r="A3" i="13"/>
  <c r="D4" i="11"/>
  <c r="D28" i="7"/>
  <c r="D41" i="7"/>
  <c r="D66" i="7"/>
  <c r="D67" i="7"/>
  <c r="D28" i="6"/>
  <c r="E42" i="13" l="1"/>
  <c r="D41" i="13"/>
  <c r="D45" i="13"/>
  <c r="D43" i="13" l="1"/>
  <c r="D42" i="13"/>
</calcChain>
</file>

<file path=xl/sharedStrings.xml><?xml version="1.0" encoding="utf-8"?>
<sst xmlns="http://schemas.openxmlformats.org/spreadsheetml/2006/main" count="1004" uniqueCount="461">
  <si>
    <t>Introduction</t>
  </si>
  <si>
    <t xml:space="preserve"> The NEADAP Forage Cost Calculator is a model that was created specifically for forage production in East Africa. The Forage Cost Calculator is a new tool to help farmers, farm advisers and stakeholders calculate the cost of forage production. 
This is important because:
• it can help farmers gain better insight into the cost of production of forage.
• it gives farmers the option to compare the costs of different forages, of different conservation options and the cost of buying on the market versus own forage production. 
The Forage Cost Calculator supports the economical sustainability of milk production and contributes to a continuous and persistent milk supply to the Kenyan dairy industry, irrespective of seasonal influences.
</t>
  </si>
  <si>
    <t xml:space="preserve">The model enables the user to enter specific farm data on costs, yield and nutritive quality. If specific data on forage nutritive quality are not available, the model works with assumed values, based on data from experts. Once all data have been entered, the model calculates the total cost of fresh forage produced, the cost per kilogramme or ton of dry matter, and the costs per unit of nutrient(s): crude protein, neutral detergent fibre and metabolizable energy. 
The first version of the Forage Cost Calculator has been developed by Damaris Kikwai (SNV) and Jos Creemers (ProDairy East Africa Ltd) in consultation with forage experts from the International Center for Tropical Agriculture (CIAT) and the Kenya Agricultural and Livestock Research Organization (KALRO). NEADAP thanks them all for their input. </t>
  </si>
  <si>
    <t xml:space="preserve">
The NEADAP Forage Cost Calculator is a spreadsheet in Excel that helps users calculate the cost of forage production from pre-planting through to the point of harvest and storage. The model is intended to be used by farmers, agricultural professionals, researchers and academics who want to make informed decisions about the cost of forage production (e.g. to formulate diets for ruminants). </t>
  </si>
  <si>
    <t xml:space="preserve">NEADAP, CIAT and KALRO very much welcome other partners to join this initiative. Your organization can contribute by sharing data and updates on forage costs, which will be added to new releases of the Forage Cost Calculator. The ambition is to keep the Forage Cost Calculator open for all and up to date. In due course, the aim is that the Forage Cost Calculator will be adapted for all of East Africa. </t>
  </si>
  <si>
    <t xml:space="preserve">Do you want to be kept informed about new editions of this list and news about forages in general? </t>
  </si>
  <si>
    <t>Sign up for the NEADAP newsletter to stay up to date</t>
  </si>
  <si>
    <t>Contact for more information</t>
  </si>
  <si>
    <t>Jos Creemers, managing consultant ProDairy East Africa Ltd</t>
  </si>
  <si>
    <t>info@prodairy.co.ke</t>
  </si>
  <si>
    <t>Development partners</t>
  </si>
  <si>
    <t>Scaling partners</t>
  </si>
  <si>
    <r>
      <t xml:space="preserve">Land tenure
</t>
    </r>
    <r>
      <rPr>
        <sz val="11"/>
        <color theme="9" tint="-0.249977111117893"/>
        <rFont val="Calibri"/>
        <family val="2"/>
        <scheme val="minor"/>
      </rPr>
      <t>Annual lease costs for this plot,
use the currency indicated above).
Write 0 in case of ownership.</t>
    </r>
  </si>
  <si>
    <t>--Select--</t>
  </si>
  <si>
    <t>Nr of years to distribute the establishment costs</t>
  </si>
  <si>
    <t>Is the crop annual, biannual or perennial ?</t>
  </si>
  <si>
    <t>Forage crop</t>
  </si>
  <si>
    <t>Name or location of plot</t>
  </si>
  <si>
    <t>Currency used in calculations</t>
  </si>
  <si>
    <t>Country</t>
  </si>
  <si>
    <t>Address – Town</t>
  </si>
  <si>
    <t>Contact phone number</t>
  </si>
  <si>
    <t>Name of farmer / manager</t>
  </si>
  <si>
    <t>Comments</t>
  </si>
  <si>
    <t>Value</t>
  </si>
  <si>
    <t>Item</t>
  </si>
  <si>
    <t>Farm plot info</t>
  </si>
  <si>
    <t>Pre-planting activities</t>
  </si>
  <si>
    <t>Manually or 
mechanized</t>
  </si>
  <si>
    <t>Pre-Planting costs</t>
  </si>
  <si>
    <t>Soil testing</t>
  </si>
  <si>
    <t>--Select input--</t>
  </si>
  <si>
    <t>--Select activity--</t>
  </si>
  <si>
    <t>Preparation cultivated land</t>
  </si>
  <si>
    <t>Preparation virgin land</t>
  </si>
  <si>
    <t>Other cost</t>
  </si>
  <si>
    <t>Subtotal pre-planting costs</t>
  </si>
  <si>
    <t>preplanting costs</t>
  </si>
  <si>
    <t>unit</t>
  </si>
  <si>
    <t>planting costs</t>
  </si>
  <si>
    <t>maintenance costs</t>
  </si>
  <si>
    <t>Unit</t>
  </si>
  <si>
    <t>Baling costs</t>
  </si>
  <si>
    <t>Ensiling costs</t>
  </si>
  <si>
    <t>Yield</t>
  </si>
  <si>
    <t>Column1</t>
  </si>
  <si>
    <t>Baling methods</t>
  </si>
  <si>
    <t>Ensiling methods</t>
  </si>
  <si>
    <t>Land tenure</t>
  </si>
  <si>
    <t>Soil analysis</t>
  </si>
  <si>
    <t>Land preparation(virgin land)</t>
  </si>
  <si>
    <t>Land preparation(input)</t>
  </si>
  <si>
    <t>Land preparation(cultivated land)</t>
  </si>
  <si>
    <t>Land preparation  cultivated land (input)</t>
  </si>
  <si>
    <t>Planting</t>
  </si>
  <si>
    <t>Maintenance costs</t>
  </si>
  <si>
    <t>Harvesting cost</t>
  </si>
  <si>
    <t>Post-Harvest costs (Baling)</t>
  </si>
  <si>
    <t>Post-Harvest costs (Ensiling)</t>
  </si>
  <si>
    <t>Way of work</t>
  </si>
  <si>
    <t>Well compacted</t>
  </si>
  <si>
    <t>Low compacted</t>
  </si>
  <si>
    <t>Quality ranking</t>
  </si>
  <si>
    <t>Land lease</t>
  </si>
  <si>
    <t>Acre</t>
  </si>
  <si>
    <t>Base fertilizer</t>
  </si>
  <si>
    <t>Top dressing fert.</t>
  </si>
  <si>
    <t xml:space="preserve"> Cutting and drying</t>
  </si>
  <si>
    <t>Mandays/acre</t>
  </si>
  <si>
    <t>Silage pit digging</t>
  </si>
  <si>
    <t>Mandays</t>
  </si>
  <si>
    <t>Tonnes/acre</t>
  </si>
  <si>
    <t>Manual</t>
  </si>
  <si>
    <t>Manual/Acre</t>
  </si>
  <si>
    <t>Activity</t>
  </si>
  <si>
    <t>Input</t>
  </si>
  <si>
    <t>1st ploughing</t>
  </si>
  <si>
    <t>Herbicide</t>
  </si>
  <si>
    <t>Very poor</t>
  </si>
  <si>
    <t>bush clearing manual</t>
  </si>
  <si>
    <t>base fert. application</t>
  </si>
  <si>
    <t>Top dressing fert. Application</t>
  </si>
  <si>
    <t>Turning in the field</t>
  </si>
  <si>
    <t>Polythene cover</t>
  </si>
  <si>
    <t>Kg/acre</t>
  </si>
  <si>
    <t>Mechanical</t>
  </si>
  <si>
    <t>Manual/Bale</t>
  </si>
  <si>
    <t>Herbicides</t>
  </si>
  <si>
    <t>Soil sampling bags</t>
  </si>
  <si>
    <t>2nd ploughing</t>
  </si>
  <si>
    <t>Base fertilizer application</t>
  </si>
  <si>
    <t>Fungicide application</t>
  </si>
  <si>
    <t>Fungicide</t>
  </si>
  <si>
    <t>Chopping</t>
  </si>
  <si>
    <t>Turning the hay</t>
  </si>
  <si>
    <t>Baling of silage</t>
  </si>
  <si>
    <t>Additives</t>
  </si>
  <si>
    <t>Poor</t>
  </si>
  <si>
    <t>bush clearing herbicide</t>
  </si>
  <si>
    <t>Manure</t>
  </si>
  <si>
    <t>Baling</t>
  </si>
  <si>
    <t>Silage bag</t>
  </si>
  <si>
    <t>Bales/acre</t>
  </si>
  <si>
    <t>Storage renting/month</t>
  </si>
  <si>
    <t>Silage bag renting/bag</t>
  </si>
  <si>
    <t>Soil testing-Chemical</t>
  </si>
  <si>
    <t>3rd ploughing</t>
  </si>
  <si>
    <t>Broadcasting</t>
  </si>
  <si>
    <t>Manure application</t>
  </si>
  <si>
    <t>Cutting</t>
  </si>
  <si>
    <t>Putting in a row</t>
  </si>
  <si>
    <t>Compaction</t>
  </si>
  <si>
    <t>Average</t>
  </si>
  <si>
    <t>1st plough</t>
  </si>
  <si>
    <t xml:space="preserve">Manure application </t>
  </si>
  <si>
    <t>Transport of bales to storage</t>
  </si>
  <si>
    <t>Silage bales</t>
  </si>
  <si>
    <t>Bale</t>
  </si>
  <si>
    <t>Tonnes/silage pit</t>
  </si>
  <si>
    <t>Mechanical/Acre</t>
  </si>
  <si>
    <t>Transport of tubes to storage/Acre</t>
  </si>
  <si>
    <t>Soil testing-Structural</t>
  </si>
  <si>
    <t>Bush clearing herbicide application</t>
  </si>
  <si>
    <t>Harrowing</t>
  </si>
  <si>
    <t>Herbicide application</t>
  </si>
  <si>
    <t>Pesticide application</t>
  </si>
  <si>
    <t>Pesticide</t>
  </si>
  <si>
    <t>Turning the hay to dry</t>
  </si>
  <si>
    <t>Silage bag renting</t>
  </si>
  <si>
    <t>Good</t>
  </si>
  <si>
    <t>2nd plough</t>
  </si>
  <si>
    <t>Planting material-seeds</t>
  </si>
  <si>
    <t>Weeding</t>
  </si>
  <si>
    <t>Bag</t>
  </si>
  <si>
    <t>Mechanical/Bale</t>
  </si>
  <si>
    <t>Transport of tubes to storage/tube</t>
  </si>
  <si>
    <t>Bush clearing manual</t>
  </si>
  <si>
    <t>Top dressing fertilizer application(1st)</t>
  </si>
  <si>
    <t>Top dressing fertilizer(1st)</t>
  </si>
  <si>
    <t>Transport to storage</t>
  </si>
  <si>
    <t>Transport of tubes to storage</t>
  </si>
  <si>
    <t>Silage bale plastic film</t>
  </si>
  <si>
    <t>Silage Compaction degree</t>
  </si>
  <si>
    <t>Very good</t>
  </si>
  <si>
    <t xml:space="preserve">3rd plough </t>
  </si>
  <si>
    <t>Planting material splits</t>
  </si>
  <si>
    <t>Hay storage renting</t>
  </si>
  <si>
    <t>Month</t>
  </si>
  <si>
    <t>years</t>
  </si>
  <si>
    <t>Planting material- Seed</t>
  </si>
  <si>
    <t>Top dressing fertilizer application(2nd)</t>
  </si>
  <si>
    <t>Top dressing fertilizer(2nd)</t>
  </si>
  <si>
    <t>Rent of hay storage</t>
  </si>
  <si>
    <t>harrowing</t>
  </si>
  <si>
    <t>Planting-transplanting</t>
  </si>
  <si>
    <t>Stumping</t>
  </si>
  <si>
    <t>Planting- Drilling</t>
  </si>
  <si>
    <t>Planting material- Splits</t>
  </si>
  <si>
    <t>corrective fertilizer</t>
  </si>
  <si>
    <t>Planting-drilling</t>
  </si>
  <si>
    <t>Planting- Planter</t>
  </si>
  <si>
    <t>Pre-emergent herbicide</t>
  </si>
  <si>
    <t>soil testing</t>
  </si>
  <si>
    <t>Sample</t>
  </si>
  <si>
    <t>Planting-seed dropping</t>
  </si>
  <si>
    <t>Planting- Seed dropping</t>
  </si>
  <si>
    <t>Compaction method</t>
  </si>
  <si>
    <t>Planting-planter</t>
  </si>
  <si>
    <t>Area measurements</t>
  </si>
  <si>
    <t>Planting-Transplanting</t>
  </si>
  <si>
    <t>By tractor (good compaction)</t>
  </si>
  <si>
    <t>SQUARE FOOT</t>
  </si>
  <si>
    <t>Pre-emergent herbicide application</t>
  </si>
  <si>
    <t>By barrels (low compaction)</t>
  </si>
  <si>
    <t>Litre/acre</t>
  </si>
  <si>
    <t>SQUARE METRE</t>
  </si>
  <si>
    <t>YES</t>
  </si>
  <si>
    <t>By people (low compaction)</t>
  </si>
  <si>
    <t xml:space="preserve">Pesticide application </t>
  </si>
  <si>
    <t>ACRE</t>
  </si>
  <si>
    <t>NO</t>
  </si>
  <si>
    <t>HECTARE</t>
  </si>
  <si>
    <t>Countries</t>
  </si>
  <si>
    <t>Currency</t>
  </si>
  <si>
    <t>Burundi</t>
  </si>
  <si>
    <t>Birr</t>
  </si>
  <si>
    <t>Ethiopia</t>
  </si>
  <si>
    <t>KES</t>
  </si>
  <si>
    <t>Yield unit</t>
  </si>
  <si>
    <t>Kenya</t>
  </si>
  <si>
    <t>TZ$</t>
  </si>
  <si>
    <t>Kg of hay</t>
  </si>
  <si>
    <t>Rwanda</t>
  </si>
  <si>
    <t>UGX</t>
  </si>
  <si>
    <t>Kg of silage</t>
  </si>
  <si>
    <t>Tanzania</t>
  </si>
  <si>
    <t>RWF</t>
  </si>
  <si>
    <t>Kg of fresh cut</t>
  </si>
  <si>
    <t>Uganda</t>
  </si>
  <si>
    <t>BUR</t>
  </si>
  <si>
    <t>USD</t>
  </si>
  <si>
    <t>EUR</t>
  </si>
  <si>
    <t>crop is ….</t>
  </si>
  <si>
    <t>Annual</t>
  </si>
  <si>
    <t>Biannual</t>
  </si>
  <si>
    <t>Perennial</t>
  </si>
  <si>
    <t>Yield from this cutting</t>
  </si>
  <si>
    <t>Plot size in hectares</t>
  </si>
  <si>
    <t>Yield from whole plot</t>
  </si>
  <si>
    <t>Yield per hectare</t>
  </si>
  <si>
    <t>Activities and cost items</t>
  </si>
  <si>
    <t>Planting costs</t>
  </si>
  <si>
    <t>Subtotal: planting cost for this cutting</t>
  </si>
  <si>
    <t>Costs between planting and harvesting</t>
  </si>
  <si>
    <t>Subtotal: costs between planting and harvesting this cutting</t>
  </si>
  <si>
    <t>Harvesting costs</t>
  </si>
  <si>
    <t>Cost of bailing hay or ensiling the forage crop</t>
  </si>
  <si>
    <t xml:space="preserve">Baling </t>
  </si>
  <si>
    <t>Cost of ensiling</t>
  </si>
  <si>
    <t>Subtotal: cost of harvesting forage in this cutting</t>
  </si>
  <si>
    <t>Total cost of this cutting</t>
  </si>
  <si>
    <t>ACTIVITIES</t>
  </si>
  <si>
    <t>YEAR1 cash costs</t>
  </si>
  <si>
    <t>YIELD(Kg/DM)</t>
  </si>
  <si>
    <t>Pre-planting costs</t>
  </si>
  <si>
    <t>Inputs</t>
  </si>
  <si>
    <t>Input costs</t>
  </si>
  <si>
    <t>Land tenure costs</t>
  </si>
  <si>
    <t>Soil analysis costs</t>
  </si>
  <si>
    <t>Per MJ/Kg DM</t>
  </si>
  <si>
    <t>Potential DMI</t>
  </si>
  <si>
    <t>Sub-total</t>
  </si>
  <si>
    <t>Inputs costs</t>
  </si>
  <si>
    <r>
      <rPr>
        <b/>
        <sz val="11"/>
        <color theme="1"/>
        <rFont val="Calibri"/>
        <family val="2"/>
        <scheme val="minor"/>
      </rPr>
      <t>Harvesting cost</t>
    </r>
    <r>
      <rPr>
        <sz val="11"/>
        <color theme="1"/>
        <rFont val="Calibri"/>
        <family val="2"/>
        <scheme val="minor"/>
      </rPr>
      <t>s</t>
    </r>
  </si>
  <si>
    <t>Sub-Total</t>
  </si>
  <si>
    <t>Post-harvest costs</t>
  </si>
  <si>
    <t>TOTAL COST</t>
  </si>
  <si>
    <t>GRAND TOTAL</t>
  </si>
  <si>
    <t>ACTIVITY COSTS</t>
  </si>
  <si>
    <t>INPUT COSTS</t>
  </si>
  <si>
    <t>COST/ACRE</t>
  </si>
  <si>
    <t>COST/HECTARE</t>
  </si>
  <si>
    <t>Establishment costs</t>
  </si>
  <si>
    <t>Lucerne</t>
  </si>
  <si>
    <t>Silage</t>
  </si>
  <si>
    <r>
      <t>m</t>
    </r>
    <r>
      <rPr>
        <vertAlign val="superscript"/>
        <sz val="11"/>
        <color theme="1"/>
        <rFont val="Calibri"/>
        <family val="2"/>
        <scheme val="minor"/>
      </rPr>
      <t>3</t>
    </r>
    <r>
      <rPr>
        <sz val="11"/>
        <color theme="1"/>
        <rFont val="Calibri"/>
        <family val="2"/>
        <scheme val="minor"/>
      </rPr>
      <t xml:space="preserve"> (cubic metres)</t>
    </r>
  </si>
  <si>
    <t>How was the silage pit compacted?</t>
  </si>
  <si>
    <t>Total amount of silage (volume * compaction rate)</t>
  </si>
  <si>
    <t>kg</t>
  </si>
  <si>
    <t>Dry matter (g/Kg/asfed)</t>
  </si>
  <si>
    <t>Crude protein (g/kgDM)</t>
  </si>
  <si>
    <t>Metabolizable energy E(MJ/kgDM)</t>
  </si>
  <si>
    <t>NDF(g/kgDM)</t>
  </si>
  <si>
    <t>Forage</t>
  </si>
  <si>
    <t>Library data</t>
  </si>
  <si>
    <t>Your data</t>
  </si>
  <si>
    <t xml:space="preserve">Your data </t>
  </si>
  <si>
    <t xml:space="preserve">Your data  </t>
  </si>
  <si>
    <t>Output of Forage Cost Calculator</t>
  </si>
  <si>
    <t>Read the disclaimer in the manual</t>
  </si>
  <si>
    <t>Years of production</t>
  </si>
  <si>
    <t>Overview of cost and yields</t>
  </si>
  <si>
    <t>Yield in kg</t>
  </si>
  <si>
    <t>Activities</t>
  </si>
  <si>
    <t>Hay</t>
  </si>
  <si>
    <t>Annual cost of land tenure</t>
  </si>
  <si>
    <t>1st cutting</t>
  </si>
  <si>
    <t>2nd cutting</t>
  </si>
  <si>
    <t>3rd cutting</t>
  </si>
  <si>
    <t>4th cutting</t>
  </si>
  <si>
    <t>5th cutting</t>
  </si>
  <si>
    <t>6th cutting</t>
  </si>
  <si>
    <t>7th cutting</t>
  </si>
  <si>
    <t>8th cutting</t>
  </si>
  <si>
    <t>Total cost in this overview</t>
  </si>
  <si>
    <t>Summary of costs</t>
  </si>
  <si>
    <t>Cost per Kg DM</t>
  </si>
  <si>
    <t>Cost per MJ/Kg DM</t>
  </si>
  <si>
    <t>Cost per Kg CP</t>
  </si>
  <si>
    <t>Total cost/acre</t>
  </si>
  <si>
    <t>Total cost/ha</t>
  </si>
  <si>
    <t>Cutting 1</t>
  </si>
  <si>
    <t>Cutting 2</t>
  </si>
  <si>
    <t>Cutting 3</t>
  </si>
  <si>
    <t>Cutting 4</t>
  </si>
  <si>
    <t>Cutting 5</t>
  </si>
  <si>
    <t>Cutting 6</t>
  </si>
  <si>
    <t>Cutting 7</t>
  </si>
  <si>
    <t>Cutting 8</t>
  </si>
  <si>
    <t>Planting costs cutting</t>
  </si>
  <si>
    <t>Harvest costs</t>
  </si>
  <si>
    <t>YIELD(Kg freshcut/acre)</t>
  </si>
  <si>
    <t>Cost/Kg fresh cut</t>
  </si>
  <si>
    <t>Unit cost (KES)</t>
  </si>
  <si>
    <t>Per Kg DM</t>
  </si>
  <si>
    <t>Per Kg CP</t>
  </si>
  <si>
    <t>Sub-total cutting</t>
  </si>
  <si>
    <t>Cost per Kg Freshcut</t>
  </si>
  <si>
    <t>Plot size</t>
  </si>
  <si>
    <t>Land size</t>
  </si>
  <si>
    <t>Feet</t>
  </si>
  <si>
    <t>Ha</t>
  </si>
  <si>
    <t>Desho grass</t>
  </si>
  <si>
    <t>Fodder beet</t>
  </si>
  <si>
    <t>Guatemala grass</t>
  </si>
  <si>
    <t>Hairy indigo</t>
  </si>
  <si>
    <t>Hedge lucerne</t>
  </si>
  <si>
    <t>Kale</t>
  </si>
  <si>
    <t>Red oat grass</t>
  </si>
  <si>
    <t>Siratro</t>
  </si>
  <si>
    <t>Sorghum forage</t>
  </si>
  <si>
    <t>Sunnhemp</t>
  </si>
  <si>
    <t>Teff</t>
  </si>
  <si>
    <t>Tropical Kudzu</t>
  </si>
  <si>
    <t>Vetch</t>
  </si>
  <si>
    <t>Insurance</t>
  </si>
  <si>
    <t>Cost of Capital</t>
  </si>
  <si>
    <t>%</t>
  </si>
  <si>
    <t>What is the volume of your silage pit?</t>
  </si>
  <si>
    <t xml:space="preserve">Total Cost </t>
  </si>
  <si>
    <t>Dry matter yield per Ha</t>
  </si>
  <si>
    <t>Herbicide Application</t>
  </si>
  <si>
    <t>Transport</t>
  </si>
  <si>
    <t>--select--</t>
  </si>
  <si>
    <t>--Select unit--</t>
  </si>
  <si>
    <t>African foxtail grass early vegetative</t>
  </si>
  <si>
    <t>African foxtail grass flowering</t>
  </si>
  <si>
    <t>African foxtail grass hay</t>
  </si>
  <si>
    <t>African foxtail grass late vegetative</t>
  </si>
  <si>
    <t>African foxtail grass vegetative</t>
  </si>
  <si>
    <t>Bread grass early vegetative</t>
  </si>
  <si>
    <t>Bread grass flowering</t>
  </si>
  <si>
    <t>Bread grass late vegetative</t>
  </si>
  <si>
    <t>Bread grass vegetative</t>
  </si>
  <si>
    <t>Columbus grass</t>
  </si>
  <si>
    <t>Congo grass early vegetative</t>
  </si>
  <si>
    <t>Congo grass flowering</t>
  </si>
  <si>
    <t>Congo grass late vegetative</t>
  </si>
  <si>
    <t>Congo grass vegetative</t>
  </si>
  <si>
    <t>Couch grass</t>
  </si>
  <si>
    <t>Cowpea hay</t>
  </si>
  <si>
    <t>Cowpea whole plant</t>
  </si>
  <si>
    <t>Desho grass hay</t>
  </si>
  <si>
    <t>Desho grass silage</t>
  </si>
  <si>
    <t>Desmodium (green leaf)</t>
  </si>
  <si>
    <t>Desmodium (green leaf)  hay</t>
  </si>
  <si>
    <t>Desmodium (silver leaf)</t>
  </si>
  <si>
    <t>Desmodium (silver leaf)  hay</t>
  </si>
  <si>
    <t>Faba bean straw</t>
  </si>
  <si>
    <t>Field pea straw</t>
  </si>
  <si>
    <t>Finger millet stover</t>
  </si>
  <si>
    <t>Guatemala grass silage</t>
  </si>
  <si>
    <t>Guinea grass early vegetative</t>
  </si>
  <si>
    <t>Guinea grass flowering</t>
  </si>
  <si>
    <t>Guinea grass hay</t>
  </si>
  <si>
    <t>Guinea grass late vegetative</t>
  </si>
  <si>
    <t>Guinea grass straw</t>
  </si>
  <si>
    <t>Guinea grass vegetative</t>
  </si>
  <si>
    <t>Kikuyu grass early vegetative</t>
  </si>
  <si>
    <t>Kikuyu grass flowering</t>
  </si>
  <si>
    <t>Kikuyu grass hay</t>
  </si>
  <si>
    <t>Kikuyu grass late vegetative</t>
  </si>
  <si>
    <t>Kikuyu grass vegetative</t>
  </si>
  <si>
    <t>Lablab bean hay</t>
  </si>
  <si>
    <t>Lablab bean silage</t>
  </si>
  <si>
    <t>Lablab bean whole plant</t>
  </si>
  <si>
    <t>Lablab bean whole plant dry</t>
  </si>
  <si>
    <t>Lentil straw</t>
  </si>
  <si>
    <t>Linseed straw</t>
  </si>
  <si>
    <t>Lucerne hay high NDF</t>
  </si>
  <si>
    <t>Lucerne hay moderate NDF</t>
  </si>
  <si>
    <t>Lupin forage</t>
  </si>
  <si>
    <t>Lupin straw</t>
  </si>
  <si>
    <t>Maasai love grass low CP</t>
  </si>
  <si>
    <t>Maasai love grass moderate CP</t>
  </si>
  <si>
    <t>Maize cob meal (fully developed cob with grains and husks)</t>
  </si>
  <si>
    <t>Maize cob meal (fully developed cob with grains, without husks)</t>
  </si>
  <si>
    <t>Maize cob meal (fully developed cob with grains, without husks) dry</t>
  </si>
  <si>
    <t>Maize cob meal (no grains) dry</t>
  </si>
  <si>
    <t>Maize cob meal (small cobs with grains and husks) dry</t>
  </si>
  <si>
    <t>Maize cob silage (with grains)</t>
  </si>
  <si>
    <t>Maize silage DM &lt; 25%</t>
  </si>
  <si>
    <t>Maize silage DM &lt;&gt; 25-30%</t>
  </si>
  <si>
    <t>Maize silage DM &lt;&gt; 30-35%</t>
  </si>
  <si>
    <t>Maize silage DM &gt;  35%</t>
  </si>
  <si>
    <t>Maize stover dry</t>
  </si>
  <si>
    <t>Maize whole plant (with cob)</t>
  </si>
  <si>
    <t>Maize whole plant (without cob)</t>
  </si>
  <si>
    <t>Napier (glaucum cross) grass mature (&gt; 200 cm)</t>
  </si>
  <si>
    <t>Napier grass early vegetative (&lt;60 cm)</t>
  </si>
  <si>
    <t>Napier grass flowering-seeding (&gt; 200 cm)</t>
  </si>
  <si>
    <t>Napier grass hay</t>
  </si>
  <si>
    <t>Napier grass late vegetative (120 &lt;&gt; 200 cm)</t>
  </si>
  <si>
    <t>Napier grass silage</t>
  </si>
  <si>
    <t>Napier grass vegetative (120 cm)</t>
  </si>
  <si>
    <t>Needle grass moderate CP</t>
  </si>
  <si>
    <t>Oats &amp; Vetch forage whole plant silage</t>
  </si>
  <si>
    <t>Oats forage early vegetative whole plant</t>
  </si>
  <si>
    <t>Oats forage hay whole plant</t>
  </si>
  <si>
    <t>Oats forage late vegetative whole plant</t>
  </si>
  <si>
    <t>Oats forage silage whole plant</t>
  </si>
  <si>
    <t>Oats straw</t>
  </si>
  <si>
    <t>Pea hay</t>
  </si>
  <si>
    <t>Pigeon pea straw</t>
  </si>
  <si>
    <t>Pigeon pea whole plant</t>
  </si>
  <si>
    <t>Pinto peanut hay</t>
  </si>
  <si>
    <t>Proso millet whole plant</t>
  </si>
  <si>
    <t>Red oat grass hay</t>
  </si>
  <si>
    <t>Rhodes grass early vegetative</t>
  </si>
  <si>
    <t>Rhodes grass flowering</t>
  </si>
  <si>
    <t>Rhodes grass late vegetative</t>
  </si>
  <si>
    <t>Rhodes grass silage</t>
  </si>
  <si>
    <t>Rhodes grass straw</t>
  </si>
  <si>
    <t>Rhodes grass vegetative</t>
  </si>
  <si>
    <t>Rye grass annual</t>
  </si>
  <si>
    <t>Rye grass annual silage</t>
  </si>
  <si>
    <t>Seteria grass early vegetative</t>
  </si>
  <si>
    <t>Seteria grass flowering</t>
  </si>
  <si>
    <t>Seteria grass late vegetative</t>
  </si>
  <si>
    <t>Seteria grass vegetative</t>
  </si>
  <si>
    <t>Signal grass early vegetative</t>
  </si>
  <si>
    <t>Signal grass early vegetative high CP</t>
  </si>
  <si>
    <t>Signal grass flowering</t>
  </si>
  <si>
    <t>Signal grass late vegetative</t>
  </si>
  <si>
    <t>Signal grass vegetative</t>
  </si>
  <si>
    <t>Siratro hay</t>
  </si>
  <si>
    <t>Sorghum forage hay</t>
  </si>
  <si>
    <t>Sorghum forage silage</t>
  </si>
  <si>
    <t>Soy bean hulls</t>
  </si>
  <si>
    <t>Star grass (Giant) early vegetative</t>
  </si>
  <si>
    <t>Star grass (Giant) flowering</t>
  </si>
  <si>
    <t>Star grass (Giant) hay</t>
  </si>
  <si>
    <t>Star grass (Giant) late vegetative</t>
  </si>
  <si>
    <t>Star grass (Giant) vegetative</t>
  </si>
  <si>
    <t>Star grass early vegetative</t>
  </si>
  <si>
    <t>Star grass flowering</t>
  </si>
  <si>
    <t>Star grass hay</t>
  </si>
  <si>
    <t>Star grass late vegetative</t>
  </si>
  <si>
    <t>Star grass vegetative</t>
  </si>
  <si>
    <t>Stylo fresh</t>
  </si>
  <si>
    <t>Sunflower silage whole plant</t>
  </si>
  <si>
    <t>Sunflower stovers</t>
  </si>
  <si>
    <t>Sunflower whole plant</t>
  </si>
  <si>
    <t>Sunnhemp hay</t>
  </si>
  <si>
    <t>Sweet potato vines</t>
  </si>
  <si>
    <t>Sweet potato vines dry</t>
  </si>
  <si>
    <t>Teff hay</t>
  </si>
  <si>
    <t>Teff straw high NDF</t>
  </si>
  <si>
    <t>Teff straw low NDF</t>
  </si>
  <si>
    <t>Teff straw moderate NDF</t>
  </si>
  <si>
    <t>Vetch hay</t>
  </si>
  <si>
    <t>Vetch straw</t>
  </si>
  <si>
    <t>Total net cost (excl insurance ; cost of capital)</t>
  </si>
  <si>
    <t>Total net cost of input for this plot this year</t>
  </si>
  <si>
    <t>Total net cost of activities for this plot this year</t>
  </si>
  <si>
    <t>Dry matter yield per Acre</t>
  </si>
  <si>
    <t>Preplanting</t>
  </si>
  <si>
    <t>Harvesting</t>
  </si>
  <si>
    <t>Growing</t>
  </si>
  <si>
    <t>Post-harvest</t>
  </si>
  <si>
    <t>Ensiling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</si>
</sst>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_(* #,##0_);_(* \(#,##0\);_(* &quot;-&quot;??_);_(@_)"/>
    <numFmt numFmtId="167" formatCode="_(* #,##0.0000_);_(* \(#,##0.0000\);_(* &quot;-&quot;??_);_(@_)"/>
  </numFmts>
  <fonts count="30">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34"/>
      <color theme="1"/>
      <name val="Calibri"/>
      <family val="2"/>
      <scheme val="minor"/>
    </font>
    <font>
      <b/>
      <sz val="12"/>
      <color theme="5"/>
      <name val="Calibri (Body)"/>
    </font>
    <font>
      <b/>
      <sz val="34"/>
      <color theme="5"/>
      <name val="Calibri"/>
      <family val="2"/>
      <scheme val="minor"/>
    </font>
    <font>
      <sz val="16"/>
      <color theme="1"/>
      <name val="Calibri"/>
      <family val="2"/>
      <scheme val="minor"/>
    </font>
    <font>
      <b/>
      <sz val="16"/>
      <color theme="5"/>
      <name val="Calibri"/>
      <family val="2"/>
      <scheme val="minor"/>
    </font>
    <font>
      <sz val="12"/>
      <color theme="1"/>
      <name val="Calibri"/>
      <family val="2"/>
      <scheme val="minor"/>
    </font>
    <font>
      <b/>
      <sz val="12"/>
      <color theme="5"/>
      <name val="Calibri"/>
      <family val="2"/>
      <scheme val="minor"/>
    </font>
    <font>
      <u/>
      <sz val="12"/>
      <color theme="0"/>
      <name val="Calibri"/>
      <family val="2"/>
      <scheme val="minor"/>
    </font>
    <font>
      <sz val="10"/>
      <color theme="1"/>
      <name val="Calibri"/>
      <family val="2"/>
      <scheme val="minor"/>
    </font>
    <font>
      <u/>
      <sz val="12"/>
      <color theme="10"/>
      <name val="Calibri"/>
      <family val="2"/>
      <scheme val="minor"/>
    </font>
    <font>
      <sz val="11"/>
      <color theme="9" tint="-0.249977111117893"/>
      <name val="Calibri"/>
      <family val="2"/>
      <scheme val="minor"/>
    </font>
    <font>
      <b/>
      <sz val="20"/>
      <color theme="5"/>
      <name val="Calibri (Body)"/>
    </font>
    <font>
      <i/>
      <sz val="11"/>
      <color theme="1"/>
      <name val="Calibri"/>
      <family val="2"/>
      <scheme val="minor"/>
    </font>
    <font>
      <sz val="11"/>
      <name val="Calibri"/>
      <family val="2"/>
      <scheme val="minor"/>
    </font>
    <font>
      <vertAlign val="superscript"/>
      <sz val="11"/>
      <color theme="1"/>
      <name val="Calibri"/>
      <family val="2"/>
      <scheme val="minor"/>
    </font>
    <font>
      <b/>
      <sz val="12"/>
      <name val="Calibri"/>
      <family val="2"/>
      <scheme val="minor"/>
    </font>
    <font>
      <b/>
      <sz val="12"/>
      <color theme="1"/>
      <name val="Calibri"/>
      <family val="2"/>
      <scheme val="minor"/>
    </font>
    <font>
      <sz val="12"/>
      <name val="Calibri"/>
      <family val="2"/>
      <scheme val="minor"/>
    </font>
    <font>
      <b/>
      <sz val="20"/>
      <color theme="5"/>
      <name val="Calibri"/>
      <family val="2"/>
      <scheme val="minor"/>
    </font>
    <font>
      <sz val="11"/>
      <color theme="5"/>
      <name val="Calibri"/>
      <family val="2"/>
      <scheme val="minor"/>
    </font>
    <font>
      <b/>
      <sz val="24"/>
      <color theme="5"/>
      <name val="Calibri"/>
      <family val="2"/>
      <scheme val="minor"/>
    </font>
    <font>
      <sz val="11"/>
      <color theme="1"/>
      <name val="Calibri"/>
      <family val="2"/>
      <scheme val="minor"/>
    </font>
    <font>
      <sz val="8"/>
      <color rgb="FF242424"/>
      <name val="Aptos"/>
      <family val="2"/>
    </font>
    <font>
      <sz val="20"/>
      <color theme="1"/>
      <name val="Calibri"/>
      <family val="2"/>
      <scheme val="minor"/>
    </font>
  </fonts>
  <fills count="22">
    <fill>
      <patternFill patternType="none"/>
    </fill>
    <fill>
      <patternFill patternType="gray125"/>
    </fill>
    <fill>
      <patternFill patternType="solid">
        <fgColor theme="5"/>
        <bgColor indexed="64"/>
      </patternFill>
    </fill>
    <fill>
      <patternFill patternType="solid">
        <fgColor rgb="FFFDE9CD"/>
        <bgColor indexed="64"/>
      </patternFill>
    </fill>
    <fill>
      <patternFill patternType="solid">
        <fgColor theme="6" tint="0.79998168889431442"/>
        <bgColor indexed="64"/>
      </patternFill>
    </fill>
    <fill>
      <patternFill patternType="solid">
        <fgColor rgb="FF1CA857"/>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9A499"/>
        <bgColor indexed="64"/>
      </patternFill>
    </fill>
    <fill>
      <patternFill patternType="solid">
        <fgColor theme="6" tint="0.79998168889431442"/>
        <bgColor theme="6" tint="0.79998168889431442"/>
      </patternFill>
    </fill>
    <fill>
      <patternFill patternType="solid">
        <fgColor rgb="FFD3EEDE"/>
        <bgColor indexed="64"/>
      </patternFill>
    </fill>
    <fill>
      <patternFill patternType="solid">
        <fgColor rgb="FFDCE2EF"/>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rgb="FFFF99CC"/>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6"/>
        <bgColor theme="6"/>
      </patternFill>
    </fill>
    <fill>
      <patternFill patternType="solid">
        <fgColor theme="8" tint="0.79998168889431442"/>
        <bgColor indexed="64"/>
      </patternFill>
    </fill>
  </fills>
  <borders count="61">
    <border>
      <left/>
      <right/>
      <top/>
      <bottom/>
      <diagonal/>
    </border>
    <border>
      <left style="medium">
        <color rgb="FF60D18F"/>
      </left>
      <right style="medium">
        <color theme="5" tint="-0.499984740745262"/>
      </right>
      <top style="medium">
        <color rgb="FF60D18F"/>
      </top>
      <bottom style="medium">
        <color theme="5" tint="-0.499984740745262"/>
      </bottom>
      <diagonal/>
    </border>
    <border>
      <left style="thin">
        <color theme="9"/>
      </left>
      <right style="thin">
        <color theme="9"/>
      </right>
      <top style="thin">
        <color theme="9"/>
      </top>
      <bottom style="thin">
        <color theme="9"/>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2" tint="-9.9948118533890809E-2"/>
      </left>
      <right/>
      <top style="thin">
        <color theme="2" tint="-9.9948118533890809E-2"/>
      </top>
      <bottom/>
      <diagonal/>
    </border>
    <border>
      <left style="thin">
        <color indexed="64"/>
      </left>
      <right/>
      <top style="thin">
        <color theme="4" tint="0.39997558519241921"/>
      </top>
      <bottom style="thin">
        <color theme="4" tint="0.39997558519241921"/>
      </bottom>
      <diagonal/>
    </border>
    <border>
      <left style="thin">
        <color indexed="64"/>
      </left>
      <right/>
      <top style="thin">
        <color theme="4" tint="0.39997558519241921"/>
      </top>
      <bottom style="thin">
        <color indexed="64"/>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style="thin">
        <color theme="2" tint="-9.9948118533890809E-2"/>
      </right>
      <top/>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style="medium">
        <color indexed="64"/>
      </right>
      <top style="medium">
        <color indexed="64"/>
      </top>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9"/>
      </left>
      <right/>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indexed="64"/>
      </left>
      <right/>
      <top style="thin">
        <color indexed="64"/>
      </top>
      <bottom style="thin">
        <color theme="2" tint="-9.9948118533890809E-2"/>
      </bottom>
      <diagonal/>
    </border>
    <border>
      <left/>
      <right style="thin">
        <color indexed="64"/>
      </right>
      <top style="thin">
        <color indexed="64"/>
      </top>
      <bottom style="thin">
        <color theme="2" tint="-9.9948118533890809E-2"/>
      </bottom>
      <diagonal/>
    </border>
    <border>
      <left style="thin">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indexed="64"/>
      </right>
      <top style="thin">
        <color theme="2" tint="-9.9948118533890809E-2"/>
      </top>
      <bottom style="thin">
        <color theme="2" tint="-9.9948118533890809E-2"/>
      </bottom>
      <diagonal/>
    </border>
    <border>
      <left style="thin">
        <color indexed="64"/>
      </left>
      <right style="thin">
        <color theme="2" tint="-9.9948118533890809E-2"/>
      </right>
      <top style="thin">
        <color theme="2" tint="-9.9948118533890809E-2"/>
      </top>
      <bottom style="thin">
        <color indexed="64"/>
      </bottom>
      <diagonal/>
    </border>
    <border>
      <left style="thin">
        <color theme="2" tint="-9.9948118533890809E-2"/>
      </left>
      <right style="thin">
        <color indexed="64"/>
      </right>
      <top style="thin">
        <color theme="2" tint="-9.9948118533890809E-2"/>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indexed="64"/>
      </right>
      <top style="thin">
        <color theme="2" tint="-9.9948118533890809E-2"/>
      </top>
      <bottom/>
      <diagonal/>
    </border>
    <border>
      <left style="thin">
        <color indexed="64"/>
      </left>
      <right style="thin">
        <color theme="2" tint="-9.9948118533890809E-2"/>
      </right>
      <top/>
      <bottom style="thin">
        <color theme="2" tint="-9.9948118533890809E-2"/>
      </bottom>
      <diagonal/>
    </border>
    <border>
      <left style="thin">
        <color theme="2" tint="-9.9948118533890809E-2"/>
      </left>
      <right style="thin">
        <color indexed="64"/>
      </right>
      <top/>
      <bottom style="thin">
        <color theme="2" tint="-9.9948118533890809E-2"/>
      </bottom>
      <diagonal/>
    </border>
    <border>
      <left style="thin">
        <color indexed="64"/>
      </left>
      <right/>
      <top style="medium">
        <color auto="1"/>
      </top>
      <bottom/>
      <diagonal/>
    </border>
    <border>
      <left style="thin">
        <color indexed="64"/>
      </left>
      <right/>
      <top/>
      <bottom style="medium">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theme="9"/>
      </top>
      <bottom style="thin">
        <color theme="9"/>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bottom/>
      <diagonal/>
    </border>
  </borders>
  <cellStyleXfs count="5">
    <xf numFmtId="0" fontId="0" fillId="0" borderId="0"/>
    <xf numFmtId="0" fontId="5" fillId="0" borderId="0" applyNumberFormat="0" applyFill="0" applyBorder="0" applyAlignment="0" applyProtection="0"/>
    <xf numFmtId="0" fontId="11" fillId="0" borderId="0"/>
    <xf numFmtId="164" fontId="27" fillId="0" borderId="0" applyFont="0" applyFill="0" applyBorder="0" applyAlignment="0" applyProtection="0"/>
    <xf numFmtId="9" fontId="27" fillId="0" borderId="0" applyFont="0" applyFill="0" applyBorder="0" applyAlignment="0" applyProtection="0"/>
  </cellStyleXfs>
  <cellXfs count="242">
    <xf numFmtId="0" fontId="0" fillId="0" borderId="0" xfId="0"/>
    <xf numFmtId="0" fontId="6" fillId="0" borderId="0" xfId="0" applyFont="1"/>
    <xf numFmtId="0" fontId="9" fillId="0" borderId="0" xfId="0" applyFont="1"/>
    <xf numFmtId="0" fontId="7" fillId="0" borderId="0" xfId="0" applyFont="1"/>
    <xf numFmtId="0" fontId="0" fillId="0" borderId="0" xfId="0" applyAlignment="1">
      <alignment wrapText="1"/>
    </xf>
    <xf numFmtId="49" fontId="11" fillId="0" borderId="0" xfId="0" applyNumberFormat="1" applyFont="1" applyAlignment="1" applyProtection="1">
      <alignment horizontal="left" vertical="top" wrapText="1"/>
      <protection locked="0"/>
    </xf>
    <xf numFmtId="0" fontId="2"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11" fillId="0" borderId="0" xfId="0" applyFont="1"/>
    <xf numFmtId="0" fontId="13" fillId="2" borderId="1" xfId="1" applyFont="1" applyFill="1" applyBorder="1" applyAlignment="1">
      <alignment horizontal="center" vertical="center"/>
    </xf>
    <xf numFmtId="0" fontId="11" fillId="0" borderId="0" xfId="0" applyFont="1" applyAlignment="1">
      <alignment wrapText="1"/>
    </xf>
    <xf numFmtId="0" fontId="11" fillId="0" borderId="0" xfId="0" applyFont="1" applyAlignment="1">
      <alignment vertical="center"/>
    </xf>
    <xf numFmtId="0" fontId="14" fillId="0" borderId="0" xfId="0" applyFont="1" applyAlignment="1">
      <alignment vertical="center"/>
    </xf>
    <xf numFmtId="0" fontId="12" fillId="0" borderId="0" xfId="0" applyFont="1"/>
    <xf numFmtId="0" fontId="15" fillId="0" borderId="0" xfId="1" applyFont="1"/>
    <xf numFmtId="0" fontId="5" fillId="0" borderId="0" xfId="1"/>
    <xf numFmtId="0" fontId="0" fillId="3" borderId="3" xfId="0" applyFill="1" applyBorder="1" applyProtection="1">
      <protection hidden="1"/>
    </xf>
    <xf numFmtId="0" fontId="3" fillId="0" borderId="0" xfId="0" applyFont="1"/>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xf>
    <xf numFmtId="0" fontId="0" fillId="8" borderId="4" xfId="0" applyFill="1" applyBorder="1" applyProtection="1">
      <protection locked="0"/>
    </xf>
    <xf numFmtId="0" fontId="0" fillId="8" borderId="4" xfId="0" applyFill="1" applyBorder="1" applyAlignment="1" applyProtection="1">
      <alignment wrapText="1"/>
      <protection locked="0"/>
    </xf>
    <xf numFmtId="0" fontId="0" fillId="8" borderId="5" xfId="0" applyFill="1" applyBorder="1" applyProtection="1">
      <protection locked="0"/>
    </xf>
    <xf numFmtId="0" fontId="19" fillId="9" borderId="6" xfId="2" applyFont="1" applyFill="1" applyBorder="1"/>
    <xf numFmtId="0" fontId="0" fillId="7" borderId="7" xfId="0" applyFill="1" applyBorder="1"/>
    <xf numFmtId="0" fontId="0" fillId="0" borderId="7" xfId="0" applyBorder="1"/>
    <xf numFmtId="0" fontId="0" fillId="0" borderId="8" xfId="0" applyBorder="1"/>
    <xf numFmtId="0" fontId="19" fillId="9" borderId="6" xfId="0" applyFont="1" applyFill="1" applyBorder="1" applyAlignment="1">
      <alignment wrapText="1"/>
    </xf>
    <xf numFmtId="0" fontId="19" fillId="9" borderId="6" xfId="0" applyFont="1" applyFill="1" applyBorder="1"/>
    <xf numFmtId="0" fontId="19" fillId="9" borderId="9" xfId="0" applyFont="1" applyFill="1" applyBorder="1"/>
    <xf numFmtId="0" fontId="0" fillId="10" borderId="3" xfId="0" applyFill="1" applyBorder="1" applyProtection="1">
      <protection locked="0"/>
    </xf>
    <xf numFmtId="0" fontId="0" fillId="0" borderId="0" xfId="0" quotePrefix="1"/>
    <xf numFmtId="0" fontId="0" fillId="0" borderId="0" xfId="0" applyProtection="1">
      <protection locked="0"/>
    </xf>
    <xf numFmtId="0" fontId="3" fillId="12" borderId="11" xfId="0" applyFont="1" applyFill="1" applyBorder="1" applyProtection="1">
      <protection locked="0"/>
    </xf>
    <xf numFmtId="0" fontId="3" fillId="0" borderId="11" xfId="0" applyFont="1" applyBorder="1" applyAlignment="1" applyProtection="1">
      <alignment wrapText="1"/>
      <protection locked="0"/>
    </xf>
    <xf numFmtId="0" fontId="3" fillId="0" borderId="0" xfId="0" applyFont="1" applyAlignment="1" applyProtection="1">
      <alignment wrapText="1"/>
      <protection locked="0"/>
    </xf>
    <xf numFmtId="0" fontId="0" fillId="0" borderId="12" xfId="0" applyBorder="1" applyProtection="1">
      <protection locked="0"/>
    </xf>
    <xf numFmtId="0" fontId="0" fillId="0" borderId="13" xfId="0" applyBorder="1" applyProtection="1">
      <protection locked="0"/>
    </xf>
    <xf numFmtId="0" fontId="0" fillId="0" borderId="11" xfId="0" applyBorder="1" applyProtection="1">
      <protection locked="0"/>
    </xf>
    <xf numFmtId="0" fontId="3" fillId="0" borderId="11" xfId="0" applyFont="1" applyBorder="1" applyProtection="1">
      <protection locked="0"/>
    </xf>
    <xf numFmtId="0" fontId="3" fillId="0" borderId="0" xfId="0" applyFont="1" applyProtection="1">
      <protection locked="0"/>
    </xf>
    <xf numFmtId="165" fontId="0" fillId="0" borderId="14" xfId="0" applyNumberFormat="1" applyBorder="1" applyProtection="1">
      <protection hidden="1"/>
    </xf>
    <xf numFmtId="0" fontId="2" fillId="0" borderId="15" xfId="0" applyFont="1" applyBorder="1" applyProtection="1">
      <protection locked="0"/>
    </xf>
    <xf numFmtId="0" fontId="3" fillId="13" borderId="16" xfId="0" applyFont="1" applyFill="1" applyBorder="1" applyProtection="1">
      <protection hidden="1"/>
    </xf>
    <xf numFmtId="2" fontId="0" fillId="0" borderId="0" xfId="0" applyNumberFormat="1" applyProtection="1">
      <protection locked="0"/>
    </xf>
    <xf numFmtId="2" fontId="3" fillId="0" borderId="0" xfId="0" applyNumberFormat="1" applyFont="1" applyProtection="1">
      <protection locked="0"/>
    </xf>
    <xf numFmtId="0" fontId="0" fillId="13" borderId="16" xfId="0" applyFill="1" applyBorder="1" applyProtection="1">
      <protection hidden="1"/>
    </xf>
    <xf numFmtId="2" fontId="0" fillId="0" borderId="11" xfId="0" applyNumberFormat="1" applyBorder="1" applyProtection="1">
      <protection hidden="1"/>
    </xf>
    <xf numFmtId="0" fontId="0" fillId="14" borderId="11" xfId="0" applyFill="1" applyBorder="1" applyProtection="1">
      <protection locked="0"/>
    </xf>
    <xf numFmtId="2" fontId="0" fillId="14" borderId="11" xfId="0" applyNumberFormat="1" applyFill="1" applyBorder="1" applyProtection="1">
      <protection hidden="1"/>
    </xf>
    <xf numFmtId="0" fontId="3" fillId="14" borderId="11" xfId="0" applyFont="1" applyFill="1" applyBorder="1" applyProtection="1">
      <protection locked="0"/>
    </xf>
    <xf numFmtId="2" fontId="3" fillId="14" borderId="11" xfId="0" applyNumberFormat="1" applyFont="1" applyFill="1" applyBorder="1" applyProtection="1">
      <protection hidden="1"/>
    </xf>
    <xf numFmtId="0" fontId="0" fillId="13" borderId="16" xfId="0" applyFill="1" applyBorder="1" applyAlignment="1" applyProtection="1">
      <alignment wrapText="1"/>
      <protection hidden="1"/>
    </xf>
    <xf numFmtId="0" fontId="0" fillId="15" borderId="11" xfId="0" applyFill="1" applyBorder="1" applyProtection="1">
      <protection locked="0"/>
    </xf>
    <xf numFmtId="2" fontId="0" fillId="0" borderId="11" xfId="0" applyNumberFormat="1" applyBorder="1" applyProtection="1">
      <protection locked="0"/>
    </xf>
    <xf numFmtId="0" fontId="0" fillId="14" borderId="4" xfId="0" applyFill="1" applyBorder="1" applyAlignment="1" applyProtection="1">
      <alignment wrapText="1"/>
      <protection hidden="1"/>
    </xf>
    <xf numFmtId="2" fontId="0" fillId="14" borderId="11" xfId="0" applyNumberFormat="1" applyFill="1" applyBorder="1" applyProtection="1">
      <protection locked="0"/>
    </xf>
    <xf numFmtId="0" fontId="0" fillId="16" borderId="11" xfId="0" applyFill="1" applyBorder="1" applyProtection="1">
      <protection locked="0"/>
    </xf>
    <xf numFmtId="0" fontId="3" fillId="13" borderId="16" xfId="0" applyFont="1" applyFill="1" applyBorder="1" applyProtection="1">
      <protection locked="0"/>
    </xf>
    <xf numFmtId="0" fontId="0" fillId="14" borderId="16" xfId="0" applyFill="1" applyBorder="1" applyAlignment="1" applyProtection="1">
      <alignment wrapText="1"/>
      <protection locked="0"/>
    </xf>
    <xf numFmtId="2" fontId="0" fillId="14" borderId="4" xfId="0" applyNumberFormat="1" applyFill="1" applyBorder="1" applyProtection="1">
      <protection hidden="1"/>
    </xf>
    <xf numFmtId="0" fontId="3" fillId="13" borderId="16" xfId="0" applyFont="1" applyFill="1" applyBorder="1" applyAlignment="1" applyProtection="1">
      <alignment wrapText="1"/>
      <protection locked="0"/>
    </xf>
    <xf numFmtId="0" fontId="3" fillId="17" borderId="11" xfId="0" applyFont="1" applyFill="1" applyBorder="1" applyProtection="1">
      <protection locked="0"/>
    </xf>
    <xf numFmtId="2" fontId="3" fillId="17" borderId="11" xfId="0" applyNumberFormat="1" applyFont="1" applyFill="1" applyBorder="1" applyProtection="1">
      <protection hidden="1"/>
    </xf>
    <xf numFmtId="0" fontId="0" fillId="17" borderId="11" xfId="0" applyFill="1" applyBorder="1" applyProtection="1">
      <protection locked="0"/>
    </xf>
    <xf numFmtId="2" fontId="3" fillId="8" borderId="11" xfId="0" applyNumberFormat="1" applyFont="1" applyFill="1" applyBorder="1" applyProtection="1">
      <protection hidden="1"/>
    </xf>
    <xf numFmtId="2" fontId="3" fillId="8" borderId="0" xfId="0" applyNumberFormat="1" applyFont="1" applyFill="1" applyProtection="1">
      <protection locked="0"/>
    </xf>
    <xf numFmtId="0" fontId="0" fillId="0" borderId="0" xfId="0" applyAlignment="1">
      <alignment horizontal="center"/>
    </xf>
    <xf numFmtId="0" fontId="21" fillId="20" borderId="6" xfId="2" applyFont="1" applyFill="1" applyBorder="1"/>
    <xf numFmtId="0" fontId="22" fillId="0" borderId="0" xfId="2" applyFont="1"/>
    <xf numFmtId="0" fontId="23" fillId="21" borderId="6" xfId="2" applyFont="1" applyFill="1" applyBorder="1"/>
    <xf numFmtId="0" fontId="3" fillId="12" borderId="32" xfId="0" applyFont="1" applyFill="1" applyBorder="1" applyProtection="1">
      <protection locked="0"/>
    </xf>
    <xf numFmtId="0" fontId="3" fillId="12" borderId="33" xfId="0" applyFont="1" applyFill="1" applyBorder="1" applyProtection="1">
      <protection locked="0"/>
    </xf>
    <xf numFmtId="0" fontId="3" fillId="12" borderId="34" xfId="0" applyFont="1" applyFill="1" applyBorder="1" applyProtection="1">
      <protection locked="0"/>
    </xf>
    <xf numFmtId="2" fontId="0" fillId="0" borderId="16" xfId="0" applyNumberFormat="1" applyBorder="1" applyProtection="1">
      <protection hidden="1"/>
    </xf>
    <xf numFmtId="2" fontId="0" fillId="0" borderId="35" xfId="0" applyNumberFormat="1" applyBorder="1" applyProtection="1">
      <protection hidden="1"/>
    </xf>
    <xf numFmtId="2" fontId="3" fillId="14" borderId="36" xfId="0" applyNumberFormat="1" applyFont="1" applyFill="1" applyBorder="1" applyProtection="1">
      <protection hidden="1"/>
    </xf>
    <xf numFmtId="2" fontId="3" fillId="14" borderId="37" xfId="0" applyNumberFormat="1" applyFont="1" applyFill="1" applyBorder="1" applyProtection="1">
      <protection hidden="1"/>
    </xf>
    <xf numFmtId="0" fontId="3" fillId="12" borderId="38" xfId="0" applyFont="1" applyFill="1" applyBorder="1" applyProtection="1">
      <protection locked="0"/>
    </xf>
    <xf numFmtId="2" fontId="3" fillId="14" borderId="39" xfId="0" applyNumberFormat="1" applyFont="1" applyFill="1" applyBorder="1" applyProtection="1">
      <protection hidden="1"/>
    </xf>
    <xf numFmtId="2" fontId="3" fillId="14" borderId="32" xfId="0" applyNumberFormat="1" applyFont="1" applyFill="1" applyBorder="1" applyProtection="1">
      <protection hidden="1"/>
    </xf>
    <xf numFmtId="2" fontId="0" fillId="0" borderId="39" xfId="0" applyNumberFormat="1" applyBorder="1" applyProtection="1">
      <protection hidden="1"/>
    </xf>
    <xf numFmtId="0" fontId="3" fillId="12" borderId="40" xfId="0" applyFont="1" applyFill="1" applyBorder="1" applyProtection="1">
      <protection locked="0"/>
    </xf>
    <xf numFmtId="2" fontId="0" fillId="0" borderId="31" xfId="0" applyNumberFormat="1" applyBorder="1" applyProtection="1">
      <protection hidden="1"/>
    </xf>
    <xf numFmtId="2" fontId="0" fillId="0" borderId="41" xfId="0" applyNumberFormat="1" applyBorder="1" applyProtection="1">
      <protection hidden="1"/>
    </xf>
    <xf numFmtId="2" fontId="3" fillId="14" borderId="42" xfId="0" applyNumberFormat="1" applyFont="1" applyFill="1" applyBorder="1" applyProtection="1">
      <protection hidden="1"/>
    </xf>
    <xf numFmtId="0" fontId="3" fillId="12" borderId="45" xfId="0" applyFont="1" applyFill="1" applyBorder="1" applyProtection="1">
      <protection locked="0"/>
    </xf>
    <xf numFmtId="0" fontId="3" fillId="12" borderId="46" xfId="0" applyFont="1" applyFill="1" applyBorder="1" applyProtection="1">
      <protection locked="0"/>
    </xf>
    <xf numFmtId="0" fontId="0" fillId="0" borderId="31" xfId="0" applyBorder="1" applyProtection="1">
      <protection locked="0"/>
    </xf>
    <xf numFmtId="2" fontId="0" fillId="14" borderId="48" xfId="0" applyNumberFormat="1" applyFill="1" applyBorder="1" applyProtection="1">
      <protection hidden="1"/>
    </xf>
    <xf numFmtId="0" fontId="0" fillId="14" borderId="48" xfId="0" applyFill="1" applyBorder="1" applyProtection="1">
      <protection locked="0"/>
    </xf>
    <xf numFmtId="0" fontId="0" fillId="0" borderId="54" xfId="0" applyBorder="1" applyProtection="1">
      <protection locked="0"/>
    </xf>
    <xf numFmtId="0" fontId="0" fillId="0" borderId="49" xfId="0" applyBorder="1" applyProtection="1">
      <protection locked="0"/>
    </xf>
    <xf numFmtId="0" fontId="0" fillId="0" borderId="56" xfId="0" applyBorder="1" applyProtection="1">
      <protection locked="0"/>
    </xf>
    <xf numFmtId="165" fontId="0" fillId="0" borderId="15" xfId="0" applyNumberFormat="1" applyBorder="1" applyProtection="1">
      <protection hidden="1"/>
    </xf>
    <xf numFmtId="0" fontId="0" fillId="0" borderId="57" xfId="0" applyBorder="1" applyProtection="1">
      <protection locked="0"/>
    </xf>
    <xf numFmtId="165" fontId="0" fillId="0" borderId="0" xfId="0" applyNumberFormat="1" applyProtection="1">
      <protection hidden="1"/>
    </xf>
    <xf numFmtId="0" fontId="2" fillId="0" borderId="0" xfId="0" applyFont="1" applyProtection="1">
      <protection locked="0"/>
    </xf>
    <xf numFmtId="0" fontId="0" fillId="0" borderId="0" xfId="0" applyAlignment="1" applyProtection="1">
      <alignment horizontal="center"/>
      <protection locked="0"/>
    </xf>
    <xf numFmtId="2" fontId="0" fillId="0" borderId="55" xfId="0" applyNumberFormat="1" applyBorder="1" applyAlignment="1" applyProtection="1">
      <alignment horizontal="center"/>
      <protection locked="0"/>
    </xf>
    <xf numFmtId="165" fontId="0" fillId="0" borderId="55" xfId="0" applyNumberFormat="1" applyBorder="1" applyAlignment="1" applyProtection="1">
      <alignment horizontal="center"/>
      <protection hidden="1"/>
    </xf>
    <xf numFmtId="1" fontId="0" fillId="0" borderId="0" xfId="0" applyNumberFormat="1"/>
    <xf numFmtId="1" fontId="21" fillId="20" borderId="6" xfId="2" applyNumberFormat="1" applyFont="1" applyFill="1" applyBorder="1"/>
    <xf numFmtId="0" fontId="0" fillId="14" borderId="0" xfId="0" applyFill="1"/>
    <xf numFmtId="0" fontId="1" fillId="6" borderId="59" xfId="0" applyFont="1" applyFill="1" applyBorder="1"/>
    <xf numFmtId="0" fontId="0" fillId="0" borderId="60" xfId="0" quotePrefix="1" applyBorder="1"/>
    <xf numFmtId="0" fontId="0" fillId="0" borderId="60" xfId="0" applyBorder="1"/>
    <xf numFmtId="0" fontId="0" fillId="0" borderId="32" xfId="0" applyBorder="1"/>
    <xf numFmtId="0" fontId="21" fillId="20" borderId="0" xfId="2" applyFont="1" applyFill="1"/>
    <xf numFmtId="1" fontId="21" fillId="20" borderId="0" xfId="2" applyNumberFormat="1" applyFont="1" applyFill="1"/>
    <xf numFmtId="0" fontId="21" fillId="20" borderId="0" xfId="2" quotePrefix="1" applyFont="1" applyFill="1"/>
    <xf numFmtId="0" fontId="0" fillId="3" borderId="2" xfId="0" applyFill="1" applyBorder="1" applyAlignment="1" applyProtection="1">
      <alignment vertical="top"/>
      <protection locked="0"/>
    </xf>
    <xf numFmtId="0" fontId="0" fillId="3" borderId="2" xfId="0" applyFill="1" applyBorder="1" applyAlignment="1" applyProtection="1">
      <alignment horizontal="left" vertical="top"/>
      <protection locked="0"/>
    </xf>
    <xf numFmtId="164" fontId="0" fillId="0" borderId="2" xfId="3" quotePrefix="1" applyFont="1" applyBorder="1" applyAlignment="1" applyProtection="1">
      <alignment vertical="top"/>
      <protection locked="0"/>
    </xf>
    <xf numFmtId="49" fontId="0" fillId="0" borderId="2" xfId="0" applyNumberFormat="1" applyBorder="1" applyAlignment="1" applyProtection="1">
      <alignment vertical="top"/>
      <protection locked="0"/>
    </xf>
    <xf numFmtId="9" fontId="0" fillId="3" borderId="2" xfId="4" applyFont="1" applyFill="1" applyBorder="1" applyAlignment="1" applyProtection="1">
      <alignment vertical="top"/>
      <protection locked="0"/>
    </xf>
    <xf numFmtId="0" fontId="8" fillId="0" borderId="0" xfId="0" applyFont="1" applyAlignment="1">
      <alignment vertical="top" wrapText="1"/>
    </xf>
    <xf numFmtId="0" fontId="0" fillId="0" borderId="0" xfId="0" applyAlignment="1">
      <alignment vertical="top"/>
    </xf>
    <xf numFmtId="0" fontId="1" fillId="2" borderId="2" xfId="0" applyFont="1" applyFill="1" applyBorder="1" applyAlignment="1">
      <alignment vertical="top"/>
    </xf>
    <xf numFmtId="0" fontId="28" fillId="0" borderId="0" xfId="0" applyFont="1"/>
    <xf numFmtId="0" fontId="0" fillId="4" borderId="2" xfId="0" applyFill="1" applyBorder="1" applyAlignment="1">
      <alignment vertical="top"/>
    </xf>
    <xf numFmtId="0" fontId="0" fillId="3" borderId="2" xfId="0" applyFill="1" applyBorder="1" applyAlignment="1">
      <alignment vertical="top"/>
    </xf>
    <xf numFmtId="0" fontId="0" fillId="3" borderId="2" xfId="0" applyFill="1" applyBorder="1" applyAlignment="1">
      <alignment horizontal="left" vertical="top"/>
    </xf>
    <xf numFmtId="0" fontId="0" fillId="4" borderId="2" xfId="0" applyFill="1" applyBorder="1" applyAlignment="1">
      <alignment vertical="top" wrapText="1"/>
    </xf>
    <xf numFmtId="0" fontId="0" fillId="4" borderId="2" xfId="0" quotePrefix="1" applyFill="1" applyBorder="1" applyAlignment="1">
      <alignment vertical="top" wrapText="1"/>
    </xf>
    <xf numFmtId="164" fontId="0" fillId="3" borderId="2" xfId="3" applyFont="1" applyFill="1" applyBorder="1" applyAlignment="1" applyProtection="1">
      <alignment horizontal="right" vertical="top"/>
    </xf>
    <xf numFmtId="167" fontId="0" fillId="0" borderId="0" xfId="0" applyNumberFormat="1" applyAlignment="1">
      <alignment vertical="top"/>
    </xf>
    <xf numFmtId="0" fontId="0" fillId="4" borderId="2" xfId="0" quotePrefix="1" applyFill="1" applyBorder="1" applyAlignment="1">
      <alignment horizontal="center" vertical="top"/>
    </xf>
    <xf numFmtId="0" fontId="0" fillId="3" borderId="3" xfId="0" applyFill="1" applyBorder="1" applyProtection="1">
      <protection locked="0" hidden="1"/>
    </xf>
    <xf numFmtId="0" fontId="0" fillId="3" borderId="3" xfId="0" applyFill="1" applyBorder="1" applyProtection="1">
      <protection locked="0"/>
    </xf>
    <xf numFmtId="0" fontId="18" fillId="3" borderId="3" xfId="0" applyFont="1" applyFill="1" applyBorder="1" applyProtection="1">
      <protection locked="0"/>
    </xf>
    <xf numFmtId="0" fontId="1" fillId="5" borderId="3" xfId="0" applyFont="1" applyFill="1" applyBorder="1" applyAlignment="1">
      <alignment vertical="top"/>
    </xf>
    <xf numFmtId="0" fontId="1" fillId="5" borderId="3" xfId="0" applyFont="1" applyFill="1" applyBorder="1" applyAlignment="1">
      <alignment vertical="top" wrapText="1"/>
    </xf>
    <xf numFmtId="0" fontId="3" fillId="3" borderId="3" xfId="0" applyFont="1" applyFill="1" applyBorder="1"/>
    <xf numFmtId="0" fontId="0" fillId="3" borderId="3" xfId="0" applyFill="1" applyBorder="1"/>
    <xf numFmtId="0" fontId="0" fillId="0" borderId="3" xfId="0" applyBorder="1"/>
    <xf numFmtId="0" fontId="29" fillId="10" borderId="3" xfId="0" applyFont="1" applyFill="1" applyBorder="1"/>
    <xf numFmtId="164" fontId="29" fillId="10" borderId="21" xfId="3" applyFont="1" applyFill="1" applyBorder="1" applyProtection="1"/>
    <xf numFmtId="0" fontId="0" fillId="10" borderId="21" xfId="0" applyFill="1" applyBorder="1"/>
    <xf numFmtId="0" fontId="0" fillId="10" borderId="3" xfId="0" applyFill="1" applyBorder="1"/>
    <xf numFmtId="0" fontId="0" fillId="10" borderId="9" xfId="0" applyFill="1" applyBorder="1"/>
    <xf numFmtId="0" fontId="0" fillId="10" borderId="10" xfId="0" applyFill="1" applyBorder="1"/>
    <xf numFmtId="0" fontId="1" fillId="5" borderId="9" xfId="0" applyFont="1" applyFill="1" applyBorder="1"/>
    <xf numFmtId="0" fontId="1" fillId="5" borderId="27" xfId="0" applyFont="1" applyFill="1" applyBorder="1"/>
    <xf numFmtId="0" fontId="1" fillId="5" borderId="28" xfId="0" applyFont="1" applyFill="1" applyBorder="1"/>
    <xf numFmtId="0" fontId="1" fillId="5" borderId="10" xfId="0" applyFont="1" applyFill="1" applyBorder="1"/>
    <xf numFmtId="0" fontId="0" fillId="3" borderId="27" xfId="0" applyFill="1" applyBorder="1"/>
    <xf numFmtId="0" fontId="0" fillId="3" borderId="28" xfId="0" applyFill="1" applyBorder="1"/>
    <xf numFmtId="0" fontId="0" fillId="10" borderId="27" xfId="0" applyFill="1" applyBorder="1"/>
    <xf numFmtId="1" fontId="0" fillId="10" borderId="28" xfId="0" applyNumberFormat="1" applyFill="1" applyBorder="1" applyAlignment="1">
      <alignment horizontal="center"/>
    </xf>
    <xf numFmtId="0" fontId="4" fillId="0" borderId="9" xfId="0" applyFont="1" applyBorder="1"/>
    <xf numFmtId="0" fontId="4" fillId="0" borderId="27" xfId="0" applyFont="1" applyBorder="1"/>
    <xf numFmtId="2" fontId="4" fillId="0" borderId="28" xfId="0" applyNumberFormat="1" applyFont="1" applyBorder="1"/>
    <xf numFmtId="0" fontId="3" fillId="3" borderId="9" xfId="0" applyFont="1" applyFill="1" applyBorder="1"/>
    <xf numFmtId="0" fontId="3" fillId="3" borderId="27" xfId="0" applyFont="1" applyFill="1" applyBorder="1"/>
    <xf numFmtId="0" fontId="0" fillId="3" borderId="9" xfId="0" applyFill="1" applyBorder="1"/>
    <xf numFmtId="0" fontId="3" fillId="3" borderId="28" xfId="0" applyFont="1" applyFill="1" applyBorder="1"/>
    <xf numFmtId="0" fontId="3" fillId="10" borderId="9" xfId="0" applyFont="1" applyFill="1" applyBorder="1"/>
    <xf numFmtId="0" fontId="3" fillId="10" borderId="27" xfId="0" applyFont="1" applyFill="1" applyBorder="1"/>
    <xf numFmtId="0" fontId="0" fillId="10" borderId="28" xfId="0" applyFill="1" applyBorder="1"/>
    <xf numFmtId="0" fontId="0" fillId="10" borderId="49" xfId="0" applyFill="1" applyBorder="1"/>
    <xf numFmtId="0" fontId="0" fillId="10" borderId="0" xfId="0" applyFill="1"/>
    <xf numFmtId="0" fontId="0" fillId="10" borderId="50" xfId="0" applyFill="1" applyBorder="1"/>
    <xf numFmtId="0" fontId="3" fillId="3" borderId="52" xfId="0" applyFont="1" applyFill="1" applyBorder="1"/>
    <xf numFmtId="0" fontId="3" fillId="3" borderId="53" xfId="0" applyFont="1" applyFill="1" applyBorder="1"/>
    <xf numFmtId="0" fontId="0" fillId="3" borderId="0" xfId="0" applyFill="1"/>
    <xf numFmtId="0" fontId="3" fillId="11" borderId="9" xfId="0" applyFont="1" applyFill="1" applyBorder="1"/>
    <xf numFmtId="0" fontId="3" fillId="11" borderId="27" xfId="0" applyFont="1" applyFill="1" applyBorder="1"/>
    <xf numFmtId="0" fontId="0" fillId="11" borderId="28" xfId="0" applyFill="1" applyBorder="1"/>
    <xf numFmtId="0" fontId="0" fillId="11" borderId="3" xfId="0" applyFill="1" applyBorder="1"/>
    <xf numFmtId="0" fontId="0" fillId="11" borderId="9" xfId="0" applyFill="1" applyBorder="1"/>
    <xf numFmtId="0" fontId="1" fillId="5" borderId="29" xfId="0" applyFont="1" applyFill="1" applyBorder="1"/>
    <xf numFmtId="0" fontId="1" fillId="5" borderId="30" xfId="0" applyFont="1" applyFill="1" applyBorder="1"/>
    <xf numFmtId="0" fontId="1" fillId="5" borderId="3" xfId="0" applyFont="1" applyFill="1" applyBorder="1"/>
    <xf numFmtId="0" fontId="0" fillId="3" borderId="27" xfId="0" applyFill="1" applyBorder="1" applyProtection="1">
      <protection locked="0"/>
    </xf>
    <xf numFmtId="0" fontId="0" fillId="3" borderId="28" xfId="0" applyFill="1" applyBorder="1" applyProtection="1">
      <protection locked="0"/>
    </xf>
    <xf numFmtId="0" fontId="0" fillId="3" borderId="9" xfId="0" applyFill="1" applyBorder="1" applyProtection="1">
      <protection locked="0"/>
    </xf>
    <xf numFmtId="0" fontId="0" fillId="3" borderId="27" xfId="0" applyFill="1" applyBorder="1" applyProtection="1">
      <protection locked="0" hidden="1"/>
    </xf>
    <xf numFmtId="0" fontId="0" fillId="10" borderId="9" xfId="0" applyFill="1" applyBorder="1" applyProtection="1">
      <protection locked="0"/>
    </xf>
    <xf numFmtId="0" fontId="0" fillId="10" borderId="27" xfId="0" applyFill="1" applyBorder="1" applyProtection="1">
      <protection locked="0"/>
    </xf>
    <xf numFmtId="0" fontId="0" fillId="10" borderId="28" xfId="0" applyFill="1" applyBorder="1" applyProtection="1">
      <protection locked="0"/>
    </xf>
    <xf numFmtId="0" fontId="0" fillId="10" borderId="51" xfId="0" applyFill="1" applyBorder="1" applyProtection="1">
      <protection locked="0"/>
    </xf>
    <xf numFmtId="0" fontId="0" fillId="11" borderId="9" xfId="0" applyFill="1" applyBorder="1" applyProtection="1">
      <protection locked="0"/>
    </xf>
    <xf numFmtId="0" fontId="0" fillId="11" borderId="28" xfId="0" applyFill="1" applyBorder="1" applyProtection="1">
      <protection locked="0"/>
    </xf>
    <xf numFmtId="0" fontId="0" fillId="11" borderId="3" xfId="0" applyFill="1" applyBorder="1" applyProtection="1">
      <protection locked="0"/>
    </xf>
    <xf numFmtId="0" fontId="0" fillId="11" borderId="27" xfId="0" applyFill="1" applyBorder="1" applyProtection="1">
      <protection locked="0"/>
    </xf>
    <xf numFmtId="0" fontId="0" fillId="9" borderId="19" xfId="0" applyFill="1" applyBorder="1" applyAlignment="1">
      <alignment vertical="top"/>
    </xf>
    <xf numFmtId="0" fontId="0" fillId="9" borderId="19" xfId="0" applyFill="1" applyBorder="1" applyAlignment="1" applyProtection="1">
      <alignment vertical="top"/>
      <protection locked="0"/>
    </xf>
    <xf numFmtId="166" fontId="0" fillId="9" borderId="19" xfId="3" applyNumberFormat="1" applyFont="1" applyFill="1" applyBorder="1" applyAlignment="1" applyProtection="1">
      <alignment vertical="top"/>
      <protection locked="0"/>
    </xf>
    <xf numFmtId="0" fontId="10" fillId="0" borderId="0" xfId="0" applyFont="1" applyAlignment="1">
      <alignment vertical="top" wrapText="1"/>
    </xf>
    <xf numFmtId="14" fontId="25" fillId="0" borderId="0" xfId="0" applyNumberFormat="1" applyFont="1" applyAlignment="1">
      <alignment horizontal="left"/>
    </xf>
    <xf numFmtId="0" fontId="26" fillId="0" borderId="0" xfId="0" applyFont="1" applyAlignment="1">
      <alignment vertical="top" wrapText="1"/>
    </xf>
    <xf numFmtId="0" fontId="0" fillId="3" borderId="22" xfId="0" applyFill="1" applyBorder="1" applyAlignment="1">
      <alignment vertical="top"/>
    </xf>
    <xf numFmtId="0" fontId="0" fillId="3" borderId="0" xfId="0" applyFill="1" applyAlignment="1">
      <alignment vertical="top"/>
    </xf>
    <xf numFmtId="0" fontId="0" fillId="0" borderId="0" xfId="0" applyAlignment="1">
      <alignment vertical="top" wrapText="1"/>
    </xf>
    <xf numFmtId="0" fontId="1" fillId="2" borderId="2" xfId="0" applyFont="1" applyFill="1" applyBorder="1" applyAlignment="1">
      <alignment horizontal="center" vertical="top"/>
    </xf>
    <xf numFmtId="0" fontId="3" fillId="4" borderId="2" xfId="0" applyFont="1" applyFill="1" applyBorder="1" applyAlignment="1">
      <alignment vertical="top"/>
    </xf>
    <xf numFmtId="166" fontId="3" fillId="4" borderId="2" xfId="0" applyNumberFormat="1" applyFont="1" applyFill="1" applyBorder="1" applyAlignment="1">
      <alignment vertical="top"/>
    </xf>
    <xf numFmtId="2" fontId="0" fillId="4" borderId="2" xfId="0" applyNumberFormat="1" applyFill="1" applyBorder="1" applyAlignment="1">
      <alignment vertical="top"/>
    </xf>
    <xf numFmtId="1" fontId="0" fillId="4" borderId="2" xfId="0" applyNumberFormat="1" applyFill="1" applyBorder="1" applyAlignment="1">
      <alignment vertical="top"/>
    </xf>
    <xf numFmtId="0" fontId="7" fillId="0" borderId="0" xfId="0" applyFont="1" applyAlignment="1">
      <alignment wrapText="1"/>
    </xf>
    <xf numFmtId="0" fontId="8" fillId="0" borderId="0" xfId="0" applyFont="1" applyAlignment="1">
      <alignment wrapText="1"/>
    </xf>
    <xf numFmtId="0" fontId="10" fillId="0" borderId="0" xfId="0" applyFont="1" applyAlignment="1">
      <alignment wrapText="1"/>
    </xf>
    <xf numFmtId="0" fontId="12" fillId="0" borderId="0" xfId="0" applyFont="1" applyAlignment="1">
      <alignment horizontal="left" vertical="top" wrapText="1"/>
    </xf>
    <xf numFmtId="0" fontId="0" fillId="3" borderId="23" xfId="0" applyFill="1" applyBorder="1" applyAlignment="1" applyProtection="1">
      <alignment horizontal="left" vertical="top"/>
      <protection locked="0"/>
    </xf>
    <xf numFmtId="0" fontId="0" fillId="3" borderId="58" xfId="0" applyFill="1" applyBorder="1" applyAlignment="1" applyProtection="1">
      <alignment horizontal="left" vertical="top"/>
      <protection locked="0"/>
    </xf>
    <xf numFmtId="0" fontId="0" fillId="3" borderId="24" xfId="0" applyFill="1" applyBorder="1" applyAlignment="1" applyProtection="1">
      <alignment horizontal="left" vertical="top"/>
      <protection locked="0"/>
    </xf>
    <xf numFmtId="0" fontId="0" fillId="3" borderId="23" xfId="0" applyFill="1" applyBorder="1" applyAlignment="1">
      <alignment horizontal="center" vertical="top"/>
    </xf>
    <xf numFmtId="0" fontId="0" fillId="3" borderId="58" xfId="0" applyFill="1" applyBorder="1" applyAlignment="1">
      <alignment horizontal="center" vertical="top"/>
    </xf>
    <xf numFmtId="0" fontId="0" fillId="3" borderId="24" xfId="0" applyFill="1" applyBorder="1" applyAlignment="1">
      <alignment horizontal="center" vertical="top"/>
    </xf>
    <xf numFmtId="0" fontId="17" fillId="0" borderId="0" xfId="0" applyFont="1" applyAlignment="1">
      <alignment vertical="top" wrapText="1"/>
    </xf>
    <xf numFmtId="0" fontId="8" fillId="0" borderId="0" xfId="0" applyFont="1" applyAlignment="1">
      <alignment vertical="top" wrapText="1"/>
    </xf>
    <xf numFmtId="0" fontId="1" fillId="5" borderId="25" xfId="0" applyFont="1" applyFill="1" applyBorder="1" applyAlignment="1">
      <alignment horizontal="center"/>
    </xf>
    <xf numFmtId="0" fontId="1" fillId="5" borderId="26" xfId="0" applyFont="1" applyFill="1" applyBorder="1" applyAlignment="1">
      <alignment horizontal="center"/>
    </xf>
    <xf numFmtId="0" fontId="0" fillId="3" borderId="22" xfId="0" applyFill="1" applyBorder="1" applyAlignment="1">
      <alignment vertical="top"/>
    </xf>
    <xf numFmtId="0" fontId="0" fillId="3" borderId="0" xfId="0" applyFill="1" applyAlignment="1">
      <alignment vertical="top"/>
    </xf>
    <xf numFmtId="0" fontId="24" fillId="0" borderId="0" xfId="0" applyFont="1" applyAlignment="1">
      <alignment wrapText="1"/>
    </xf>
    <xf numFmtId="0" fontId="10" fillId="0" borderId="0" xfId="0" applyFont="1" applyAlignment="1">
      <alignment vertical="top" wrapText="1"/>
    </xf>
    <xf numFmtId="0" fontId="1" fillId="2" borderId="22" xfId="0" applyFont="1" applyFill="1" applyBorder="1" applyAlignment="1">
      <alignment vertical="top"/>
    </xf>
    <xf numFmtId="0" fontId="1" fillId="2" borderId="0" xfId="0" applyFont="1" applyFill="1" applyAlignment="1">
      <alignment vertical="top"/>
    </xf>
    <xf numFmtId="0" fontId="1" fillId="2" borderId="23" xfId="0" applyFont="1" applyFill="1" applyBorder="1" applyAlignment="1">
      <alignment horizontal="center" vertical="top"/>
    </xf>
    <xf numFmtId="0" fontId="1" fillId="2" borderId="24" xfId="0" applyFont="1" applyFill="1" applyBorder="1" applyAlignment="1">
      <alignment horizontal="center" vertical="top"/>
    </xf>
    <xf numFmtId="0" fontId="0" fillId="18" borderId="17" xfId="0" applyFill="1" applyBorder="1" applyAlignment="1">
      <alignment vertical="top"/>
    </xf>
    <xf numFmtId="0" fontId="0" fillId="9" borderId="17" xfId="0" applyFill="1" applyBorder="1" applyAlignment="1">
      <alignment horizontal="left" vertical="top" wrapText="1"/>
    </xf>
    <xf numFmtId="0" fontId="0" fillId="9" borderId="18" xfId="0" applyFill="1" applyBorder="1" applyAlignment="1">
      <alignment horizontal="left" vertical="top" wrapText="1"/>
    </xf>
    <xf numFmtId="0" fontId="0" fillId="9" borderId="17" xfId="0" applyFill="1" applyBorder="1" applyAlignment="1">
      <alignment vertical="top"/>
    </xf>
    <xf numFmtId="0" fontId="0" fillId="9" borderId="18" xfId="0" applyFill="1" applyBorder="1" applyAlignment="1">
      <alignment vertical="top"/>
    </xf>
    <xf numFmtId="0" fontId="0" fillId="9" borderId="17" xfId="0" applyFill="1" applyBorder="1" applyAlignment="1">
      <alignment vertical="top" wrapText="1"/>
    </xf>
    <xf numFmtId="0" fontId="0" fillId="9" borderId="18" xfId="0" applyFill="1" applyBorder="1" applyAlignment="1">
      <alignment vertical="top" wrapText="1"/>
    </xf>
    <xf numFmtId="0" fontId="0" fillId="19" borderId="0" xfId="0" applyFill="1" applyAlignment="1">
      <alignment horizontal="center"/>
    </xf>
    <xf numFmtId="0" fontId="0" fillId="0" borderId="0" xfId="0" applyAlignment="1">
      <alignment horizontal="center"/>
    </xf>
    <xf numFmtId="0" fontId="0" fillId="19" borderId="20" xfId="0" applyFill="1" applyBorder="1" applyAlignment="1">
      <alignment horizontal="center"/>
    </xf>
    <xf numFmtId="2" fontId="0" fillId="0" borderId="43" xfId="0" applyNumberFormat="1" applyBorder="1" applyAlignment="1" applyProtection="1">
      <alignment horizontal="center"/>
      <protection locked="0"/>
    </xf>
    <xf numFmtId="2" fontId="0" fillId="0" borderId="44" xfId="0" applyNumberFormat="1" applyBorder="1" applyAlignment="1" applyProtection="1">
      <alignment horizontal="center"/>
      <protection locked="0"/>
    </xf>
    <xf numFmtId="0" fontId="0" fillId="0" borderId="54"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2" fontId="0" fillId="0" borderId="43" xfId="0" applyNumberFormat="1" applyBorder="1" applyAlignment="1" applyProtection="1">
      <alignment horizontal="center"/>
      <protection hidden="1"/>
    </xf>
    <xf numFmtId="2" fontId="0" fillId="0" borderId="47" xfId="0" applyNumberFormat="1" applyBorder="1" applyAlignment="1" applyProtection="1">
      <alignment horizontal="center"/>
      <protection hidden="1"/>
    </xf>
    <xf numFmtId="2" fontId="0" fillId="0" borderId="44" xfId="0" applyNumberFormat="1" applyBorder="1" applyAlignment="1" applyProtection="1">
      <alignment horizontal="center"/>
      <protection hidden="1"/>
    </xf>
    <xf numFmtId="2" fontId="0" fillId="0" borderId="47" xfId="0" applyNumberFormat="1" applyBorder="1" applyAlignment="1" applyProtection="1">
      <alignment horizontal="center"/>
      <protection locked="0"/>
    </xf>
  </cellXfs>
  <cellStyles count="5">
    <cellStyle name="Comma" xfId="3" builtinId="3"/>
    <cellStyle name="Hyperlink" xfId="1" builtinId="8"/>
    <cellStyle name="Normal" xfId="0" builtinId="0"/>
    <cellStyle name="Normal 2" xfId="2" xr:uid="{53A8294E-F515-4579-8677-7346A2EE69DF}"/>
    <cellStyle name="Per cent" xfId="4" builtinId="5"/>
  </cellStyles>
  <dxfs count="372">
    <dxf>
      <numFmt numFmtId="168" formatCode=";;;"/>
    </dxf>
    <dxf>
      <font>
        <color theme="0"/>
      </font>
    </dxf>
    <dxf>
      <font>
        <color theme="0"/>
      </font>
    </dxf>
    <dxf>
      <font>
        <color theme="0"/>
      </font>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numFmt numFmtId="168" formatCode=";;;"/>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theme="8" tint="0.79998168889431442"/>
        </patternFill>
      </fill>
    </dxf>
    <dxf>
      <fill>
        <patternFill>
          <bgColor theme="8" tint="0.79998168889431442"/>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ill>
        <patternFill>
          <bgColor rgb="FFD6EBF4"/>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ill>
        <patternFill patternType="solid">
          <fgColor indexed="64"/>
          <bgColor rgb="FFF9A499"/>
        </patternFill>
      </fill>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Cost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658-4523-9E5E-91061E274E9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658-4523-9E5E-91061E274E9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658-4523-9E5E-91061E274E9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658-4523-9E5E-91061E274E9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C658-4523-9E5E-91061E274E98}"/>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C658-4523-9E5E-91061E274E9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CALCULATIONS!$G$3:$G$8</c:f>
              <c:strCache>
                <c:ptCount val="6"/>
                <c:pt idx="0">
                  <c:v>Preplanting</c:v>
                </c:pt>
                <c:pt idx="1">
                  <c:v>Planting</c:v>
                </c:pt>
                <c:pt idx="2">
                  <c:v>Growing</c:v>
                </c:pt>
                <c:pt idx="3">
                  <c:v>Harvesting</c:v>
                </c:pt>
                <c:pt idx="4">
                  <c:v>Post-harvest</c:v>
                </c:pt>
                <c:pt idx="5">
                  <c:v>Ensiling</c:v>
                </c:pt>
              </c:strCache>
            </c:strRef>
          </c:cat>
          <c:val>
            <c:numRef>
              <c:f>CALCULATIONS!$H$3:$H$8</c:f>
              <c:numCache>
                <c:formatCode>0.00</c:formatCode>
                <c:ptCount val="6"/>
                <c:pt idx="0">
                  <c:v>500</c:v>
                </c:pt>
                <c:pt idx="1">
                  <c:v>55</c:v>
                </c:pt>
                <c:pt idx="2">
                  <c:v>175</c:v>
                </c:pt>
                <c:pt idx="3">
                  <c:v>300</c:v>
                </c:pt>
                <c:pt idx="4">
                  <c:v>75</c:v>
                </c:pt>
                <c:pt idx="5">
                  <c:v>80</c:v>
                </c:pt>
              </c:numCache>
            </c:numRef>
          </c:val>
          <c:extLst>
            <c:ext xmlns:c16="http://schemas.microsoft.com/office/drawing/2014/chart" uri="{C3380CC4-5D6E-409C-BE32-E72D297353CC}">
              <c16:uniqueId val="{00000000-E9AB-4071-BB1B-E800D5E3D635}"/>
            </c:ext>
          </c:extLst>
        </c:ser>
        <c:dLbls>
          <c:showLegendKey val="0"/>
          <c:showVal val="0"/>
          <c:showCatName val="0"/>
          <c:showSerName val="0"/>
          <c:showPercent val="1"/>
          <c:showBubbleSize val="0"/>
          <c:showLeaderLines val="1"/>
        </c:dLbls>
      </c:pie3D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1562100</xdr:colOff>
      <xdr:row>0</xdr:row>
      <xdr:rowOff>98424</xdr:rowOff>
    </xdr:from>
    <xdr:to>
      <xdr:col>4</xdr:col>
      <xdr:colOff>76199</xdr:colOff>
      <xdr:row>3</xdr:row>
      <xdr:rowOff>202757</xdr:rowOff>
    </xdr:to>
    <xdr:pic>
      <xdr:nvPicPr>
        <xdr:cNvPr id="2" name="Picture 1">
          <a:extLst>
            <a:ext uri="{FF2B5EF4-FFF2-40B4-BE49-F238E27FC236}">
              <a16:creationId xmlns:a16="http://schemas.microsoft.com/office/drawing/2014/main" id="{F479E955-168D-48B1-BDDC-FF917FD9D0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2950" y="98424"/>
          <a:ext cx="2228849" cy="1475933"/>
        </a:xfrm>
        <a:prstGeom prst="rect">
          <a:avLst/>
        </a:prstGeom>
      </xdr:spPr>
    </xdr:pic>
    <xdr:clientData/>
  </xdr:twoCellAnchor>
  <xdr:twoCellAnchor editAs="oneCell">
    <xdr:from>
      <xdr:col>0</xdr:col>
      <xdr:colOff>622300</xdr:colOff>
      <xdr:row>0</xdr:row>
      <xdr:rowOff>304800</xdr:rowOff>
    </xdr:from>
    <xdr:to>
      <xdr:col>1</xdr:col>
      <xdr:colOff>2628900</xdr:colOff>
      <xdr:row>2</xdr:row>
      <xdr:rowOff>211793</xdr:rowOff>
    </xdr:to>
    <xdr:pic>
      <xdr:nvPicPr>
        <xdr:cNvPr id="3" name="Picture 2">
          <a:extLst>
            <a:ext uri="{FF2B5EF4-FFF2-40B4-BE49-F238E27FC236}">
              <a16:creationId xmlns:a16="http://schemas.microsoft.com/office/drawing/2014/main" id="{994EB6AC-6629-41AE-AE45-D55A0ADE03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0200" y="304800"/>
          <a:ext cx="2628900" cy="1062693"/>
        </a:xfrm>
        <a:prstGeom prst="rect">
          <a:avLst/>
        </a:prstGeom>
      </xdr:spPr>
    </xdr:pic>
    <xdr:clientData/>
  </xdr:twoCellAnchor>
  <xdr:twoCellAnchor editAs="oneCell">
    <xdr:from>
      <xdr:col>1</xdr:col>
      <xdr:colOff>0</xdr:colOff>
      <xdr:row>15</xdr:row>
      <xdr:rowOff>114300</xdr:rowOff>
    </xdr:from>
    <xdr:to>
      <xdr:col>1</xdr:col>
      <xdr:colOff>904240</xdr:colOff>
      <xdr:row>20</xdr:row>
      <xdr:rowOff>47625</xdr:rowOff>
    </xdr:to>
    <xdr:pic>
      <xdr:nvPicPr>
        <xdr:cNvPr id="4" name="Afbeelding 4" descr="Afbeelding met Lettertype, logo, Graphics, Elektrisch blauw&#10;&#10;Automatisch gegenereerde beschrijving">
          <a:extLst>
            <a:ext uri="{FF2B5EF4-FFF2-40B4-BE49-F238E27FC236}">
              <a16:creationId xmlns:a16="http://schemas.microsoft.com/office/drawing/2014/main" id="{9E2615B1-FF81-4981-95B0-73E072F95F5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163" r="-1"/>
        <a:stretch/>
      </xdr:blipFill>
      <xdr:spPr bwMode="auto">
        <a:xfrm>
          <a:off x="330200" y="9410700"/>
          <a:ext cx="904240" cy="8540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942975</xdr:colOff>
      <xdr:row>15</xdr:row>
      <xdr:rowOff>38100</xdr:rowOff>
    </xdr:from>
    <xdr:to>
      <xdr:col>3</xdr:col>
      <xdr:colOff>2527935</xdr:colOff>
      <xdr:row>20</xdr:row>
      <xdr:rowOff>28575</xdr:rowOff>
    </xdr:to>
    <xdr:pic>
      <xdr:nvPicPr>
        <xdr:cNvPr id="5" name="Afbeelding 1107683538">
          <a:extLst>
            <a:ext uri="{FF2B5EF4-FFF2-40B4-BE49-F238E27FC236}">
              <a16:creationId xmlns:a16="http://schemas.microsoft.com/office/drawing/2014/main" id="{22A36ABB-3D54-48FB-AC9F-106B4DC0F41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8182"/>
        <a:stretch/>
      </xdr:blipFill>
      <xdr:spPr bwMode="auto">
        <a:xfrm>
          <a:off x="5203825" y="9334500"/>
          <a:ext cx="1584960" cy="911225"/>
        </a:xfrm>
        <a:prstGeom prst="rect">
          <a:avLst/>
        </a:prstGeom>
        <a:noFill/>
      </xdr:spPr>
    </xdr:pic>
    <xdr:clientData/>
  </xdr:twoCellAnchor>
  <xdr:twoCellAnchor editAs="oneCell">
    <xdr:from>
      <xdr:col>1</xdr:col>
      <xdr:colOff>1092200</xdr:colOff>
      <xdr:row>16</xdr:row>
      <xdr:rowOff>104775</xdr:rowOff>
    </xdr:from>
    <xdr:to>
      <xdr:col>1</xdr:col>
      <xdr:colOff>2552700</xdr:colOff>
      <xdr:row>20</xdr:row>
      <xdr:rowOff>104775</xdr:rowOff>
    </xdr:to>
    <xdr:pic>
      <xdr:nvPicPr>
        <xdr:cNvPr id="6" name="Picture 5">
          <a:extLst>
            <a:ext uri="{FF2B5EF4-FFF2-40B4-BE49-F238E27FC236}">
              <a16:creationId xmlns:a16="http://schemas.microsoft.com/office/drawing/2014/main" id="{26D411F3-B65D-4B4F-8BE7-03130D94095D}"/>
            </a:ext>
          </a:extLst>
        </xdr:cNvPr>
        <xdr:cNvPicPr>
          <a:picLocks noChangeAspect="1"/>
        </xdr:cNvPicPr>
      </xdr:nvPicPr>
      <xdr:blipFill>
        <a:blip xmlns:r="http://schemas.openxmlformats.org/officeDocument/2006/relationships" r:embed="rId5"/>
        <a:stretch>
          <a:fillRect/>
        </a:stretch>
      </xdr:blipFill>
      <xdr:spPr>
        <a:xfrm>
          <a:off x="1422400" y="9585325"/>
          <a:ext cx="1460500" cy="736600"/>
        </a:xfrm>
        <a:prstGeom prst="rect">
          <a:avLst/>
        </a:prstGeom>
      </xdr:spPr>
    </xdr:pic>
    <xdr:clientData/>
  </xdr:twoCellAnchor>
  <xdr:twoCellAnchor editAs="oneCell">
    <xdr:from>
      <xdr:col>3</xdr:col>
      <xdr:colOff>0</xdr:colOff>
      <xdr:row>15</xdr:row>
      <xdr:rowOff>180975</xdr:rowOff>
    </xdr:from>
    <xdr:to>
      <xdr:col>3</xdr:col>
      <xdr:colOff>889000</xdr:colOff>
      <xdr:row>19</xdr:row>
      <xdr:rowOff>41275</xdr:rowOff>
    </xdr:to>
    <xdr:pic>
      <xdr:nvPicPr>
        <xdr:cNvPr id="7" name="Picture 6">
          <a:extLst>
            <a:ext uri="{FF2B5EF4-FFF2-40B4-BE49-F238E27FC236}">
              <a16:creationId xmlns:a16="http://schemas.microsoft.com/office/drawing/2014/main" id="{E02F2C68-B0C5-4E99-9573-48B46F6FF471}"/>
            </a:ext>
          </a:extLst>
        </xdr:cNvPr>
        <xdr:cNvPicPr>
          <a:picLocks noChangeAspect="1"/>
        </xdr:cNvPicPr>
      </xdr:nvPicPr>
      <xdr:blipFill>
        <a:blip xmlns:r="http://schemas.openxmlformats.org/officeDocument/2006/relationships" r:embed="rId6"/>
        <a:stretch>
          <a:fillRect/>
        </a:stretch>
      </xdr:blipFill>
      <xdr:spPr>
        <a:xfrm>
          <a:off x="4260850" y="9477375"/>
          <a:ext cx="889000" cy="596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190500</xdr:colOff>
      <xdr:row>0</xdr:row>
      <xdr:rowOff>85725</xdr:rowOff>
    </xdr:from>
    <xdr:to>
      <xdr:col>7</xdr:col>
      <xdr:colOff>572728</xdr:colOff>
      <xdr:row>4</xdr:row>
      <xdr:rowOff>165100</xdr:rowOff>
    </xdr:to>
    <xdr:pic>
      <xdr:nvPicPr>
        <xdr:cNvPr id="2" name="Picture 1">
          <a:extLst>
            <a:ext uri="{FF2B5EF4-FFF2-40B4-BE49-F238E27FC236}">
              <a16:creationId xmlns:a16="http://schemas.microsoft.com/office/drawing/2014/main" id="{D05F2276-37E2-4076-8501-B152778C52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2250" y="85725"/>
          <a:ext cx="2477728" cy="1387475"/>
        </a:xfrm>
        <a:prstGeom prst="rect">
          <a:avLst/>
        </a:prstGeom>
      </xdr:spPr>
    </xdr:pic>
    <xdr:clientData/>
  </xdr:twoCellAnchor>
  <xdr:twoCellAnchor>
    <xdr:from>
      <xdr:col>5</xdr:col>
      <xdr:colOff>222250</xdr:colOff>
      <xdr:row>20</xdr:row>
      <xdr:rowOff>12700</xdr:rowOff>
    </xdr:from>
    <xdr:to>
      <xdr:col>7</xdr:col>
      <xdr:colOff>565150</xdr:colOff>
      <xdr:row>31</xdr:row>
      <xdr:rowOff>57150</xdr:rowOff>
    </xdr:to>
    <xdr:graphicFrame macro="">
      <xdr:nvGraphicFramePr>
        <xdr:cNvPr id="3" name="Chart 2">
          <a:extLst>
            <a:ext uri="{FF2B5EF4-FFF2-40B4-BE49-F238E27FC236}">
              <a16:creationId xmlns:a16="http://schemas.microsoft.com/office/drawing/2014/main" id="{C9CBBD8D-595F-30FE-EE81-857F122706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8F0447-4315-4B65-9580-05745A176E12}" name="Ensiling_costs" displayName="Ensiling_costs" ref="T1:U10" totalsRowShown="0" headerRowDxfId="371" tableBorderDxfId="370">
  <autoFilter ref="T1:U10" xr:uid="{9DA5CE55-68B3-45D7-8870-3048F1BE16DE}"/>
  <tableColumns count="2">
    <tableColumn id="1" xr3:uid="{6DA50AA9-E382-4B64-9C74-9EAABFC9F676}" name="Ensiling costs"/>
    <tableColumn id="2" xr3:uid="{DFCD0EB2-A6F0-43E8-B026-D9753995D9A7}" name="Unit"/>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111F6F6-AC1D-42EE-ABA9-1815D61D2573}" name="Table19" displayName="Table19" ref="AK1:AL6" totalsRowShown="0" headerRowDxfId="366">
  <autoFilter ref="AK1:AL6" xr:uid="{2CD11E24-094D-47A2-895C-80542C2FC6F5}"/>
  <tableColumns count="2">
    <tableColumn id="1" xr3:uid="{C77A6634-298E-4DD8-8A02-70781E93ED97}" name="Land preparation(cultivated land)"/>
    <tableColumn id="2" xr3:uid="{B5C4AB32-3D78-4353-BD40-0F4715C3BAA9}" name="Land preparation  cultivated land (input)"/>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2AEE4BC-6FD2-455A-BB78-E35E04C6991E}" name="Table20" displayName="Table20" ref="AM1:AN14" totalsRowShown="0" headerRowDxfId="365">
  <autoFilter ref="AM1:AN14" xr:uid="{0C7AF65E-6C84-4F58-9CCD-93E95A5968B1}"/>
  <tableColumns count="2">
    <tableColumn id="1" xr3:uid="{BFC549FA-C7B5-445E-8B55-F523E38D4C29}" name="Planting"/>
    <tableColumn id="2" xr3:uid="{F687EB16-FC8A-412B-9D38-C6B4AC34BD15}" name="Column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8AF0EE7-B770-4F08-984E-BDC25F4E527D}" name="Table21" displayName="Table21" ref="AO1:AP10" totalsRowShown="0">
  <autoFilter ref="AO1:AP10" xr:uid="{154926DA-81AF-42D9-9ACA-27533E728253}"/>
  <tableColumns count="2">
    <tableColumn id="1" xr3:uid="{86AD60D4-3E70-4907-BDB2-066A013B2C62}" name="Maintenance costs"/>
    <tableColumn id="2" xr3:uid="{EB8760D2-D267-41A5-A6E9-130A7398C711}" name="Column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FEA34A5-B39A-4397-B0E5-DF07A1956476}" name="Table22" displayName="Table22" ref="AQ1:AQ7" totalsRowShown="0" headerRowDxfId="364">
  <autoFilter ref="AQ1:AQ7" xr:uid="{54362996-31EE-4771-BFDD-9E59EE841D5B}"/>
  <tableColumns count="1">
    <tableColumn id="1" xr3:uid="{F7413C09-D0B3-4E17-88F0-9B8089FB7316}" name="Harvesting cost"/>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ECDFF35-29C8-40B5-BF77-D396CA42CB8B}" name="Table23" displayName="Table23" ref="AR1:AR8" totalsRowShown="0" headerRowDxfId="363">
  <autoFilter ref="AR1:AR8" xr:uid="{D49F1F6F-E5A3-460A-ABDE-19BAEB0057CD}"/>
  <tableColumns count="1">
    <tableColumn id="1" xr3:uid="{ABEE4082-9560-445F-B66A-D2331CB90766}" name="Post-Harvest costs (Baling)"/>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F44CD04-B632-4620-BAE9-BD0713BDAB68}" name="Table24" displayName="Table24" ref="AS1:AT7" totalsRowShown="0">
  <autoFilter ref="AS1:AT7" xr:uid="{4971D884-6F69-4156-8116-2044CFCEE2CA}"/>
  <tableColumns count="2">
    <tableColumn id="1" xr3:uid="{7E0D5C28-0F01-4006-9489-302D15A23704}" name="Post-Harvest costs (Ensiling)"/>
    <tableColumn id="2" xr3:uid="{C8579BF5-698F-4726-8B6C-86CF2F75AD21}" name="Column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D5741CB-E520-4DB9-8928-C26029EC874C}" name="Table25" displayName="Table25" ref="AV1:AV3" totalsRowShown="0">
  <autoFilter ref="AV1:AV3" xr:uid="{40B439FE-B372-4DC0-B347-FA3BCF1CCD06}"/>
  <tableColumns count="1">
    <tableColumn id="1" xr3:uid="{EAD1153B-3CEB-4BD1-AF59-0CF167B1AC79}" name="Way of work"/>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0897F90-ED33-4D0C-88AD-BBCDFB5A1D6F}" name="Table26" displayName="Table26" ref="AV6:AV8" totalsRowShown="0" headerRowDxfId="362">
  <autoFilter ref="AV6:AV8" xr:uid="{3D1E29D8-5431-4410-BC92-C713765A8473}"/>
  <tableColumns count="1">
    <tableColumn id="1" xr3:uid="{901CDA10-407E-48D8-9E56-018DE6C8FB89}" name="Silage Compaction degree"/>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3A897C6-E066-4FB9-8E92-7753B3FC44F7}" name="Table29" displayName="Table29" ref="X7:X18" totalsRowShown="0">
  <autoFilter ref="X7:X18" xr:uid="{A5055DA8-7FC0-4DB9-9A4E-8015FF4EE7BE}"/>
  <tableColumns count="1">
    <tableColumn id="1" xr3:uid="{AB8A3855-2722-4B3E-B5B3-75D2692E54E5}" name="year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71AC5DB-95B9-4FC0-BE48-1ADA9FCEC1E8}" name="Table35" displayName="Table35" ref="AV10:AV14" totalsRowShown="0">
  <autoFilter ref="AV10:AV14" xr:uid="{4AC36135-F033-431F-979F-B59137B39740}"/>
  <tableColumns count="1">
    <tableColumn id="1" xr3:uid="{CBB6385B-0C24-4212-BC5F-351DF8713A54}" name="Compaction method"/>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CD2D5A-E8FE-4E25-BAA0-1A62670CBEBB}" name="Table7" displayName="Table7" ref="X1:X5" totalsRowShown="0">
  <autoFilter ref="X1:X5" xr:uid="{6BD74A78-628E-4853-824B-6C3971AE064A}"/>
  <tableColumns count="1">
    <tableColumn id="1" xr3:uid="{E881D8E9-67B0-4449-9858-F86FED201829}" name="Yield"/>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8DE8153-0E23-40C5-AC60-E569BA21B79C}" name="Table39" displayName="Table39" ref="X20:X24" totalsRowShown="0">
  <autoFilter ref="X20:X24" xr:uid="{1FE70D1E-5B4E-4B82-AFB0-D213D9CFDCBA}"/>
  <tableColumns count="1">
    <tableColumn id="1" xr3:uid="{B65AB148-1BA6-48F2-B9AC-1EA2930A2BDE}" name="Yield unit"/>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485FF8F-BCB3-4CC3-9C43-DD8BE179ECF0}" name="Table40" displayName="Table40" ref="AY1:AY6" totalsRowShown="0">
  <autoFilter ref="AY1:AY6" xr:uid="{2B67BF1E-B410-4FE0-B2FC-34213BC4B112}"/>
  <tableColumns count="1">
    <tableColumn id="1" xr3:uid="{B1701E8B-1A38-4E7A-A36F-17D7E1F9D35A}" name="Quality ranking"/>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6A99C56-5ADA-4A0F-8360-5D314A4EB54D}" name="maintenance_costs" displayName="maintenance_costs" ref="I1:J7" totalsRowShown="0" headerRowDxfId="361" tableBorderDxfId="360">
  <autoFilter ref="I1:J7" xr:uid="{D45850A5-3058-4A8C-9BCE-0F4491858900}"/>
  <tableColumns count="2">
    <tableColumn id="1" xr3:uid="{2C87EA08-8424-4F73-9C13-E027829BFAD6}" name="maintenance costs"/>
    <tableColumn id="2" xr3:uid="{7E9A357F-89BA-43BC-80E3-36EAD575B969}" name="Unit"/>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58F0133-946E-449F-8A6B-236D88AC019F}" name="baling_costs" displayName="baling_costs" ref="Q1:R7" totalsRowShown="0" headerRowDxfId="359" tableBorderDxfId="358">
  <autoFilter ref="Q1:R7" xr:uid="{E86DE9CA-DB39-4866-8B46-19AF2C23E80C}"/>
  <tableColumns count="2">
    <tableColumn id="1" xr3:uid="{5377FB5B-8932-42F9-ABFE-46AF30CA21FC}" name="Baling costs"/>
    <tableColumn id="2" xr3:uid="{634D5086-49FB-46AA-AAFE-0BBFEA19B1F6}" name="Unit"/>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121DBE2-2796-4CE8-A1E0-05BC6CC2CC24}" name="planting_costs" displayName="planting_costs" ref="F1:G17" totalsRowShown="0" headerRowDxfId="357" tableBorderDxfId="356">
  <autoFilter ref="F1:G17" xr:uid="{DEB83E83-270E-4E7A-8228-6043221349F3}"/>
  <tableColumns count="2">
    <tableColumn id="1" xr3:uid="{55A6552F-6F30-409C-8708-17E3FABFFA9B}" name="planting costs"/>
    <tableColumn id="2" xr3:uid="{801BBD53-EAFA-452A-A95A-B30EABACEA34}" name="unit"/>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14268E0-7A52-4067-87A9-6402656772D2}" name="Table11" displayName="Table11" ref="C1:D11" totalsRowShown="0" headerRowDxfId="355" tableBorderDxfId="354">
  <autoFilter ref="C1:D11" xr:uid="{420EB525-0993-4110-BD9D-4BA28F53AF08}"/>
  <tableColumns count="2">
    <tableColumn id="1" xr3:uid="{2CA83E97-5ABD-436C-94B2-B53A4FB1D2FC}" name="preplanting costs" dataDxfId="353"/>
    <tableColumn id="2" xr3:uid="{4AE616D2-2B58-47F1-BE46-2B9D5EFF6939}" name="unit"/>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D70D736-BA85-4837-A82B-00966D8423C5}" name="Table307" displayName="Table307" ref="L1:L8" totalsRowShown="0" headerRowDxfId="352" dataDxfId="351">
  <autoFilter ref="L1:L8" xr:uid="{2D70D736-BA85-4837-A82B-00966D8423C5}"/>
  <sortState xmlns:xlrd2="http://schemas.microsoft.com/office/spreadsheetml/2017/richdata2" ref="L2:L7">
    <sortCondition ref="L18:L24"/>
  </sortState>
  <tableColumns count="1">
    <tableColumn id="1" xr3:uid="{6720360C-E94D-4101-A45B-45CBCECF6507}" name="Countries" dataDxfId="350"/>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E9AECA6-8F2C-4FD1-856F-3688D242C776}" name="Table3819" displayName="Table3819" ref="M1:M10" totalsRowShown="0">
  <autoFilter ref="M1:M10" xr:uid="{EE9AECA6-8F2C-4FD1-856F-3688D242C776}"/>
  <tableColumns count="1">
    <tableColumn id="1" xr3:uid="{CACEB3D5-7F3D-4574-A7C1-CBF2CC88429C}" name="Currency"/>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2EF69D9-9E38-4DFE-912E-1E5EE53F3DB7}" name="Table3721" displayName="Table3721" ref="O1:O5" totalsRowShown="0">
  <autoFilter ref="O1:O5" xr:uid="{C2EF69D9-9E38-4DFE-912E-1E5EE53F3DB7}"/>
  <tableColumns count="1">
    <tableColumn id="1" xr3:uid="{EDBE44BB-380A-4624-B6CA-5453219C38FB}" name="crop is …."/>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173A392-5B1F-482E-AF60-51CF5CFBE7E8}" name="Table8" displayName="Table8" ref="Z1:Z4" totalsRowShown="0">
  <autoFilter ref="Z1:Z4" xr:uid="{2ACC38E8-51A9-488C-A447-5E7491999208}"/>
  <tableColumns count="1">
    <tableColumn id="1" xr3:uid="{75BCCF5F-5C5A-49DD-B6F6-AEF976A8C8B9}" name="Column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EEA16E-3E78-4126-89BF-060DC50CB860}" name="Table9" displayName="Table9" ref="AB1:AB6" totalsRowShown="0">
  <autoFilter ref="AB1:AB6" xr:uid="{B23CF43B-E594-4066-B006-6B6C0345FCD0}"/>
  <tableColumns count="1">
    <tableColumn id="1" xr3:uid="{73D50DF0-7F32-4A10-8EA7-36970472DE8A}" name="Baling method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70B9FF8-E706-4BF8-9826-869788E442C4}" name="Table10" displayName="Table10" ref="AD1:AD6" totalsRowShown="0">
  <autoFilter ref="AD1:AD6" xr:uid="{A509E5B8-3443-427E-ACC4-18DA1DD3F93A}"/>
  <tableColumns count="1">
    <tableColumn id="1" xr3:uid="{80491897-D0C1-44DD-ABA6-1DC69DCCC142}" name="Ensiling method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3E0B798-4035-4191-921C-35536E7DD468}" name="Table14" displayName="Table14" ref="T12:T14" totalsRowShown="0">
  <autoFilter ref="T12:T14" xr:uid="{76EA94BC-726D-4260-96E7-2DEE5F2EE0A4}"/>
  <tableColumns count="1">
    <tableColumn id="1" xr3:uid="{CFFF6EC3-AE52-42D2-B304-086C113669A6}" name="Column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1232F13-6CEF-4995-A1AA-86F5613E8FF2}" name="Table15" displayName="Table15" ref="AF1:AF2" totalsRowShown="0" headerRowDxfId="369">
  <autoFilter ref="AF1:AF2" xr:uid="{1954B9CE-9DEF-4A49-B25E-42D6E3974BB6}"/>
  <tableColumns count="1">
    <tableColumn id="1" xr3:uid="{9E631E86-8A20-4B8A-801B-C87339346C59}" name="Land tenur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BC29660-4339-447E-8DF3-0B9DFA6CDF1A}" name="Table17" displayName="Table17" ref="AG1:AH6" totalsRowShown="0" headerRowDxfId="368">
  <autoFilter ref="AG1:AH6" xr:uid="{E06E8F6A-0366-4D60-94BB-F49736019D50}"/>
  <tableColumns count="2">
    <tableColumn id="1" xr3:uid="{36CE3780-F2A3-4DF5-A4E6-C6E29C7F6D03}" name="Soil analysis"/>
    <tableColumn id="2" xr3:uid="{B79F87C8-2276-4A35-BA66-01501A38E102}" name="Column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5154722-7087-4704-93A8-3AEA7FFF7511}" name="Table18" displayName="Table18" ref="AI1:AJ9" totalsRowShown="0" headerRowDxfId="367">
  <autoFilter ref="AI1:AJ9" xr:uid="{4DEA45A4-32C9-4896-A998-02088AC3263D}"/>
  <tableColumns count="2">
    <tableColumn id="1" xr3:uid="{E4E6B579-E7B2-49D3-BDBE-415242B36B41}" name="Land preparation(virgin land)"/>
    <tableColumn id="2" xr3:uid="{E4977E7D-3C7D-4714-A743-CFA7DDD69FCD}" name="Land preparation(input)"/>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prodairy.co.ke" TargetMode="External"/><Relationship Id="rId1" Type="http://schemas.openxmlformats.org/officeDocument/2006/relationships/hyperlink" Target="https://docs.google.com/forms/d/e/1FAIpQLSdJGlsGu67POxUqcDN-ae_KeR6HR_QwfxSrUHLYtzp6Ii1T6g/viewfor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781F7-92C5-45F4-A6D8-BE4D1F5DDDC2}">
  <sheetPr>
    <tabColor rgb="FF7C7F96"/>
  </sheetPr>
  <dimension ref="B1:E16"/>
  <sheetViews>
    <sheetView showGridLines="0" showRowColHeaders="0" zoomScaleNormal="100" workbookViewId="0">
      <selection activeCell="D15" sqref="D15"/>
    </sheetView>
  </sheetViews>
  <sheetFormatPr defaultColWidth="8.796875" defaultRowHeight="14"/>
  <cols>
    <col min="1" max="1" width="4.69921875" customWidth="1"/>
    <col min="2" max="2" width="53" customWidth="1"/>
    <col min="3" max="3" width="3.296875" style="4" customWidth="1"/>
    <col min="4" max="4" width="53.19921875" style="4" customWidth="1"/>
  </cols>
  <sheetData>
    <row r="1" spans="2:5" s="1" customFormat="1" ht="57.8" customHeight="1">
      <c r="C1" s="201"/>
      <c r="D1" s="202"/>
    </row>
    <row r="2" spans="2:5" s="1" customFormat="1" ht="33.75" customHeight="1">
      <c r="C2" s="202"/>
      <c r="D2" s="202"/>
    </row>
    <row r="3" spans="2:5" s="2" customFormat="1" ht="17.2" customHeight="1">
      <c r="C3" s="203"/>
      <c r="D3" s="203"/>
    </row>
    <row r="4" spans="2:5" ht="33.049999999999997" customHeight="1">
      <c r="B4" s="3" t="s">
        <v>0</v>
      </c>
    </row>
    <row r="5" spans="2:5" s="7" customFormat="1" ht="284.25" customHeight="1">
      <c r="B5" s="5" t="s">
        <v>1</v>
      </c>
      <c r="C5" s="6"/>
      <c r="D5" s="5" t="s">
        <v>2</v>
      </c>
    </row>
    <row r="6" spans="2:5" s="7" customFormat="1" ht="156.80000000000001" customHeight="1">
      <c r="B6" s="5" t="s">
        <v>3</v>
      </c>
      <c r="C6" s="6"/>
      <c r="D6" s="5" t="s">
        <v>4</v>
      </c>
    </row>
    <row r="7" spans="2:5" s="8" customFormat="1" ht="16.149999999999999" thickBot="1">
      <c r="B7" s="204" t="s">
        <v>5</v>
      </c>
      <c r="C7" s="204"/>
      <c r="D7" s="204"/>
      <c r="E7" s="204"/>
    </row>
    <row r="8" spans="2:5" s="8" customFormat="1" ht="29.15" customHeight="1" thickBot="1">
      <c r="B8" s="9" t="s">
        <v>6</v>
      </c>
      <c r="C8" s="10"/>
      <c r="D8" s="11"/>
    </row>
    <row r="9" spans="2:5">
      <c r="D9" s="12"/>
    </row>
    <row r="10" spans="2:5" s="8" customFormat="1" ht="15.6">
      <c r="B10" s="13" t="s">
        <v>7</v>
      </c>
      <c r="C10" s="13"/>
    </row>
    <row r="11" spans="2:5" s="8" customFormat="1" ht="15.6">
      <c r="B11" s="8" t="s">
        <v>8</v>
      </c>
    </row>
    <row r="12" spans="2:5" s="8" customFormat="1" ht="15.6">
      <c r="B12" s="14" t="s">
        <v>9</v>
      </c>
      <c r="C12" s="14"/>
      <c r="D12" s="14"/>
    </row>
    <row r="13" spans="2:5">
      <c r="B13" s="12"/>
      <c r="D13" s="12"/>
    </row>
    <row r="14" spans="2:5">
      <c r="D14" s="12"/>
    </row>
    <row r="15" spans="2:5" s="8" customFormat="1" ht="15.6">
      <c r="B15" s="13" t="s">
        <v>10</v>
      </c>
      <c r="C15" s="13"/>
      <c r="D15" s="13" t="s">
        <v>11</v>
      </c>
    </row>
    <row r="16" spans="2:5">
      <c r="D16" s="15"/>
    </row>
  </sheetData>
  <sheetProtection algorithmName="SHA-512" hashValue="ZAxxFWsGURsWfkiYJchsLXBrNRUAa99Ktr/HPmWDqD2PwBv0yjFIIpDM+Mhnt6DErA764zr4fLuMz6UsWPbR/w==" saltValue="WkMuhknNSv/ekb2cr1Nrug==" spinCount="100000" sheet="1" insertHyperlinks="0" selectLockedCells="1" selectUnlockedCells="1"/>
  <mergeCells count="4">
    <mergeCell ref="C1:D1"/>
    <mergeCell ref="C2:D2"/>
    <mergeCell ref="C3:D3"/>
    <mergeCell ref="B7:E7"/>
  </mergeCells>
  <hyperlinks>
    <hyperlink ref="B8" r:id="rId1" xr:uid="{A3B30747-387E-4FD9-88A7-2F3914EF4930}"/>
    <hyperlink ref="B12" r:id="rId2" display="mailto:info@prodairy.co.ke" xr:uid="{9E6FF8E3-265E-4E95-A3CB-7212A4A6B094}"/>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E4798-1EFF-49B5-8F4B-D1373566727B}">
  <sheetPr>
    <tabColor rgb="FF875262"/>
  </sheetPr>
  <dimension ref="A1:H18"/>
  <sheetViews>
    <sheetView showGridLines="0" topLeftCell="A7" workbookViewId="0">
      <selection activeCell="D11" sqref="D11:F11"/>
    </sheetView>
  </sheetViews>
  <sheetFormatPr defaultColWidth="9.19921875" defaultRowHeight="14"/>
  <cols>
    <col min="1" max="1" width="45.5" style="118" customWidth="1"/>
    <col min="2" max="2" width="9" style="118" customWidth="1"/>
    <col min="3" max="3" width="23.5" style="118" customWidth="1"/>
    <col min="4" max="4" width="11.19921875" style="118" customWidth="1"/>
    <col min="5" max="5" width="10.296875" style="118" customWidth="1"/>
    <col min="6" max="6" width="50.5" style="118" customWidth="1"/>
    <col min="7" max="16384" width="9.19921875" style="118"/>
  </cols>
  <sheetData>
    <row r="1" spans="1:8" ht="58.6" customHeight="1">
      <c r="A1" s="211" t="s">
        <v>26</v>
      </c>
      <c r="B1" s="211"/>
      <c r="C1" s="212"/>
      <c r="D1" s="117"/>
      <c r="E1" s="117"/>
    </row>
    <row r="2" spans="1:8" ht="15.05" customHeight="1">
      <c r="A2" s="119" t="s">
        <v>25</v>
      </c>
      <c r="B2" s="119"/>
      <c r="C2" s="119" t="s">
        <v>24</v>
      </c>
      <c r="D2" s="119"/>
      <c r="E2" s="119"/>
      <c r="F2" s="119" t="s">
        <v>23</v>
      </c>
      <c r="H2" s="120"/>
    </row>
    <row r="3" spans="1:8">
      <c r="A3" s="121" t="s">
        <v>22</v>
      </c>
      <c r="B3" s="121"/>
      <c r="C3" s="112"/>
      <c r="D3" s="205"/>
      <c r="E3" s="206"/>
      <c r="F3" s="207"/>
    </row>
    <row r="4" spans="1:8">
      <c r="A4" s="121" t="s">
        <v>21</v>
      </c>
      <c r="B4" s="121"/>
      <c r="C4" s="113"/>
      <c r="D4" s="205"/>
      <c r="E4" s="206"/>
      <c r="F4" s="207"/>
    </row>
    <row r="5" spans="1:8">
      <c r="A5" s="121" t="s">
        <v>20</v>
      </c>
      <c r="B5" s="121"/>
      <c r="C5" s="112"/>
      <c r="D5" s="205"/>
      <c r="E5" s="206"/>
      <c r="F5" s="207"/>
    </row>
    <row r="6" spans="1:8">
      <c r="A6" s="121" t="s">
        <v>19</v>
      </c>
      <c r="B6" s="121"/>
      <c r="C6" s="112" t="s">
        <v>184</v>
      </c>
      <c r="D6" s="205"/>
      <c r="E6" s="206"/>
      <c r="F6" s="207"/>
    </row>
    <row r="7" spans="1:8">
      <c r="A7" s="121" t="s">
        <v>18</v>
      </c>
      <c r="B7" s="121"/>
      <c r="C7" s="112" t="s">
        <v>185</v>
      </c>
      <c r="D7" s="205"/>
      <c r="E7" s="206"/>
      <c r="F7" s="207"/>
    </row>
    <row r="8" spans="1:8">
      <c r="A8" s="121"/>
      <c r="B8" s="121"/>
      <c r="C8" s="122"/>
      <c r="D8" s="208"/>
      <c r="E8" s="209"/>
      <c r="F8" s="210"/>
    </row>
    <row r="9" spans="1:8">
      <c r="A9" s="121" t="s">
        <v>17</v>
      </c>
      <c r="B9" s="121"/>
      <c r="C9" s="112"/>
      <c r="D9" s="205"/>
      <c r="E9" s="206"/>
      <c r="F9" s="207"/>
    </row>
    <row r="10" spans="1:8">
      <c r="A10" s="124" t="s">
        <v>298</v>
      </c>
      <c r="B10" s="125" t="s">
        <v>301</v>
      </c>
      <c r="C10" s="126">
        <f>IF(D10="Ha",E10,IF(D10="Feet",E10/107639.1041671,IF(D10="Acre",E10/2.47105381,"")))</f>
        <v>5</v>
      </c>
      <c r="D10" s="112" t="s">
        <v>301</v>
      </c>
      <c r="E10" s="114">
        <v>5</v>
      </c>
      <c r="F10" s="115"/>
      <c r="G10" s="127"/>
      <c r="H10"/>
    </row>
    <row r="11" spans="1:8">
      <c r="A11" s="124"/>
      <c r="B11" s="125" t="s">
        <v>64</v>
      </c>
      <c r="C11" s="126">
        <f>IF(D10="Acre",E10,IF(D10="Feet",E10/43560,IF(D10="Ha",E10*2.47105381,"")))</f>
        <v>12.35526905</v>
      </c>
      <c r="D11" s="205"/>
      <c r="E11" s="206"/>
      <c r="F11" s="207"/>
    </row>
    <row r="12" spans="1:8">
      <c r="A12" s="124"/>
      <c r="B12" s="125"/>
      <c r="C12" s="122"/>
      <c r="D12" s="208"/>
      <c r="E12" s="209"/>
      <c r="F12" s="210"/>
    </row>
    <row r="13" spans="1:8">
      <c r="A13" s="121" t="s">
        <v>16</v>
      </c>
      <c r="B13" s="121"/>
      <c r="C13" s="112" t="s">
        <v>330</v>
      </c>
      <c r="D13" s="205"/>
      <c r="E13" s="206"/>
      <c r="F13" s="207"/>
    </row>
    <row r="14" spans="1:8">
      <c r="A14" s="121" t="s">
        <v>15</v>
      </c>
      <c r="B14" s="121"/>
      <c r="C14" s="112" t="s">
        <v>203</v>
      </c>
      <c r="D14" s="205"/>
      <c r="E14" s="206"/>
      <c r="F14" s="207"/>
    </row>
    <row r="15" spans="1:8">
      <c r="A15" s="121" t="s">
        <v>14</v>
      </c>
      <c r="B15" s="121"/>
      <c r="C15" s="112">
        <v>1</v>
      </c>
      <c r="D15" s="205"/>
      <c r="E15" s="206"/>
      <c r="F15" s="207"/>
    </row>
    <row r="16" spans="1:8">
      <c r="A16" s="121" t="s">
        <v>315</v>
      </c>
      <c r="B16" s="128" t="s">
        <v>317</v>
      </c>
      <c r="C16" s="116">
        <v>0.02</v>
      </c>
      <c r="D16" s="205"/>
      <c r="E16" s="206"/>
      <c r="F16" s="207"/>
    </row>
    <row r="17" spans="1:6">
      <c r="A17" s="121" t="s">
        <v>316</v>
      </c>
      <c r="B17" s="128" t="s">
        <v>317</v>
      </c>
      <c r="C17" s="116">
        <v>0.05</v>
      </c>
      <c r="D17" s="205"/>
      <c r="E17" s="206"/>
      <c r="F17" s="207"/>
    </row>
    <row r="18" spans="1:6" ht="55.9">
      <c r="A18" s="124" t="s">
        <v>12</v>
      </c>
      <c r="B18" s="124"/>
      <c r="C18" s="112">
        <v>1000</v>
      </c>
      <c r="D18" s="205"/>
      <c r="E18" s="206"/>
      <c r="F18" s="207"/>
    </row>
  </sheetData>
  <sheetProtection algorithmName="SHA-512" hashValue="9a1GTqE9j1bQy8rppRz7+uggvXyLhEjJKCwe6ZrpA1iZ2k/Bz92/wvvawJiCntBoKZGexj7o61iX+KTt2Dta+g==" saltValue="OVHmnhJK7izmuiRmkj1WDw==" spinCount="100000" sheet="1" selectLockedCells="1" sort="0" autoFilter="0"/>
  <protectedRanges>
    <protectedRange sqref="F3:F18" name="Range2"/>
    <protectedRange sqref="C3:E7 C9:E18" name="UserData_1"/>
  </protectedRanges>
  <mergeCells count="16">
    <mergeCell ref="A1:C1"/>
    <mergeCell ref="D3:F3"/>
    <mergeCell ref="D4:F4"/>
    <mergeCell ref="D5:F5"/>
    <mergeCell ref="D6:F6"/>
    <mergeCell ref="D7:F7"/>
    <mergeCell ref="D9:F9"/>
    <mergeCell ref="D13:F13"/>
    <mergeCell ref="D11:F11"/>
    <mergeCell ref="D8:F8"/>
    <mergeCell ref="D12:F12"/>
    <mergeCell ref="D14:F14"/>
    <mergeCell ref="D15:F15"/>
    <mergeCell ref="D16:F16"/>
    <mergeCell ref="D17:F17"/>
    <mergeCell ref="D18:F18"/>
  </mergeCells>
  <conditionalFormatting sqref="C9 C6:C7 C13:C18">
    <cfRule type="cellIs" dxfId="349" priority="9" operator="equal">
      <formula>"--Select--"</formula>
    </cfRule>
  </conditionalFormatting>
  <conditionalFormatting sqref="C16:C18">
    <cfRule type="containsBlanks" dxfId="348" priority="7">
      <formula>LEN(TRIM(C16))=0</formula>
    </cfRule>
  </conditionalFormatting>
  <conditionalFormatting sqref="C3:D5 D9 C9:C11 E10:F10">
    <cfRule type="containsBlanks" dxfId="347" priority="8" stopIfTrue="1">
      <formula>LEN(TRIM(C3))=0</formula>
    </cfRule>
  </conditionalFormatting>
  <conditionalFormatting sqref="D6:D7">
    <cfRule type="containsBlanks" dxfId="346" priority="3" stopIfTrue="1">
      <formula>LEN(TRIM(D6))=0</formula>
    </cfRule>
  </conditionalFormatting>
  <conditionalFormatting sqref="D10">
    <cfRule type="cellIs" dxfId="345" priority="1" operator="equal">
      <formula>"--Select--"</formula>
    </cfRule>
  </conditionalFormatting>
  <conditionalFormatting sqref="D11 D13:D18">
    <cfRule type="containsBlanks" dxfId="344" priority="2" stopIfTrue="1">
      <formula>LEN(TRIM(D11))=0</formula>
    </cfRule>
  </conditionalFormatting>
  <dataValidations count="3">
    <dataValidation type="list" allowBlank="1" showInputMessage="1" showErrorMessage="1" sqref="C15" xr:uid="{45A96E33-6C0C-4D72-A706-68589A1118D0}">
      <formula1>Years</formula1>
    </dataValidation>
    <dataValidation type="list" allowBlank="1" showInputMessage="1" showErrorMessage="1" sqref="E6" xr:uid="{C8AC03C5-0875-420D-B493-7AD430A5E6F2}">
      <formula1>countries</formula1>
    </dataValidation>
    <dataValidation type="list" allowBlank="1" showInputMessage="1" showErrorMessage="1" sqref="E7" xr:uid="{664028A5-9886-4D2C-9D59-57C901362BFD}">
      <formula1>Currency</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r:uid="{5369ECFD-F20F-454A-B1EF-1333FFB2EB85}">
          <x14:formula1>
            <xm:f>'Validation tables'!$O$2:$O$5</xm:f>
          </x14:formula1>
          <xm:sqref>C14</xm:sqref>
        </x14:dataValidation>
        <x14:dataValidation type="list" allowBlank="1" showInputMessage="1" showErrorMessage="1" xr:uid="{D28AC929-5401-4289-8113-54CBE93CD9F8}">
          <x14:formula1>
            <xm:f>'Validation tables'!$A$2:$A$5</xm:f>
          </x14:formula1>
          <xm:sqref>D10</xm:sqref>
        </x14:dataValidation>
        <x14:dataValidation type="list" allowBlank="1" showInputMessage="1" showErrorMessage="1" xr:uid="{0B34DE0B-39BC-4E0A-90AF-38D6C809B236}">
          <x14:formula1>
            <xm:f>'Feed library'!$D$3:$D$144</xm:f>
          </x14:formula1>
          <xm:sqref>C13</xm:sqref>
        </x14:dataValidation>
        <x14:dataValidation type="list" allowBlank="1" showInputMessage="1" showErrorMessage="1" xr:uid="{018C501B-8631-42CB-A47A-3F7508B9CEA4}">
          <x14:formula1>
            <xm:f>'Validation tables'!$L$2:$L$8</xm:f>
          </x14:formula1>
          <xm:sqref>C6</xm:sqref>
        </x14:dataValidation>
        <x14:dataValidation type="list" allowBlank="1" showInputMessage="1" showErrorMessage="1" xr:uid="{870B9408-444F-4A6E-9C78-EA2028C0154A}">
          <x14:formula1>
            <xm:f>'Validation tables'!$M$2:$M$10</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28B65-2C69-443E-B366-508D37C66A31}">
  <sheetPr>
    <tabColor rgb="FF66719A"/>
  </sheetPr>
  <dimension ref="A1:E28"/>
  <sheetViews>
    <sheetView showGridLines="0" topLeftCell="B1" zoomScaleNormal="100" workbookViewId="0">
      <pane ySplit="1" topLeftCell="A14" activePane="bottomLeft" state="frozen"/>
      <selection activeCell="B50" sqref="B50"/>
      <selection pane="bottomLeft" activeCell="B15" sqref="B15"/>
    </sheetView>
  </sheetViews>
  <sheetFormatPr defaultColWidth="8.796875" defaultRowHeight="14"/>
  <cols>
    <col min="1" max="1" width="6.5" hidden="1" customWidth="1"/>
    <col min="2" max="2" width="28.5" customWidth="1"/>
    <col min="3" max="3" width="15.19921875" customWidth="1"/>
    <col min="4" max="4" width="14.796875" customWidth="1"/>
    <col min="5" max="5" width="50.5" customWidth="1"/>
  </cols>
  <sheetData>
    <row r="1" spans="2:5" s="118" customFormat="1" ht="29.95" customHeight="1">
      <c r="B1" s="132" t="s">
        <v>27</v>
      </c>
      <c r="C1" s="133" t="s">
        <v>28</v>
      </c>
      <c r="D1" s="133" t="s">
        <v>29</v>
      </c>
      <c r="E1" s="132" t="s">
        <v>23</v>
      </c>
    </row>
    <row r="2" spans="2:5">
      <c r="B2" s="134" t="s">
        <v>30</v>
      </c>
      <c r="C2" s="16"/>
      <c r="D2" s="135"/>
      <c r="E2" s="16"/>
    </row>
    <row r="3" spans="2:5">
      <c r="B3" s="131" t="s">
        <v>31</v>
      </c>
      <c r="C3" s="16"/>
      <c r="D3" s="130"/>
      <c r="E3" s="129"/>
    </row>
    <row r="4" spans="2:5">
      <c r="B4" s="131" t="s">
        <v>32</v>
      </c>
      <c r="C4" s="16"/>
      <c r="D4" s="130"/>
      <c r="E4" s="129"/>
    </row>
    <row r="5" spans="2:5">
      <c r="B5" s="131" t="s">
        <v>32</v>
      </c>
      <c r="C5" s="16"/>
      <c r="D5" s="130"/>
      <c r="E5" s="129"/>
    </row>
    <row r="6" spans="2:5">
      <c r="B6" s="131" t="s">
        <v>32</v>
      </c>
      <c r="C6" s="16"/>
      <c r="D6" s="130"/>
      <c r="E6" s="129"/>
    </row>
    <row r="7" spans="2:5">
      <c r="B7" s="134" t="s">
        <v>33</v>
      </c>
      <c r="C7" s="16"/>
      <c r="D7" s="16"/>
      <c r="E7" s="16"/>
    </row>
    <row r="8" spans="2:5">
      <c r="B8" s="131" t="s">
        <v>31</v>
      </c>
      <c r="C8" s="16"/>
      <c r="D8" s="130"/>
      <c r="E8" s="129"/>
    </row>
    <row r="9" spans="2:5">
      <c r="B9" s="131" t="s">
        <v>32</v>
      </c>
      <c r="C9" s="129" t="s">
        <v>13</v>
      </c>
      <c r="D9" s="130"/>
      <c r="E9" s="129"/>
    </row>
    <row r="10" spans="2:5">
      <c r="B10" s="131" t="s">
        <v>32</v>
      </c>
      <c r="C10" s="129" t="s">
        <v>13</v>
      </c>
      <c r="D10" s="130"/>
      <c r="E10" s="129"/>
    </row>
    <row r="11" spans="2:5">
      <c r="B11" s="131" t="s">
        <v>32</v>
      </c>
      <c r="C11" s="129" t="s">
        <v>13</v>
      </c>
      <c r="D11" s="130"/>
      <c r="E11" s="129"/>
    </row>
    <row r="12" spans="2:5">
      <c r="B12" s="131" t="s">
        <v>32</v>
      </c>
      <c r="C12" s="129" t="s">
        <v>13</v>
      </c>
      <c r="D12" s="130"/>
      <c r="E12" s="129"/>
    </row>
    <row r="13" spans="2:5">
      <c r="B13" s="131" t="s">
        <v>32</v>
      </c>
      <c r="C13" s="129" t="s">
        <v>13</v>
      </c>
      <c r="D13" s="130"/>
      <c r="E13" s="129"/>
    </row>
    <row r="14" spans="2:5">
      <c r="B14" s="134" t="s">
        <v>34</v>
      </c>
      <c r="C14" s="16"/>
      <c r="D14" s="135"/>
      <c r="E14" s="16"/>
    </row>
    <row r="15" spans="2:5">
      <c r="B15" s="131" t="s">
        <v>77</v>
      </c>
      <c r="C15" s="16"/>
      <c r="D15" s="130">
        <v>100</v>
      </c>
      <c r="E15" s="129"/>
    </row>
    <row r="16" spans="2:5">
      <c r="B16" s="131" t="s">
        <v>76</v>
      </c>
      <c r="C16" s="129" t="s">
        <v>72</v>
      </c>
      <c r="D16" s="130">
        <v>500</v>
      </c>
      <c r="E16" s="129"/>
    </row>
    <row r="17" spans="2:5">
      <c r="B17" s="131" t="s">
        <v>32</v>
      </c>
      <c r="C17" s="129" t="s">
        <v>13</v>
      </c>
      <c r="D17" s="130">
        <v>0</v>
      </c>
      <c r="E17" s="129"/>
    </row>
    <row r="18" spans="2:5">
      <c r="B18" s="131" t="s">
        <v>32</v>
      </c>
      <c r="C18" s="129" t="s">
        <v>13</v>
      </c>
      <c r="D18" s="130">
        <v>0</v>
      </c>
      <c r="E18" s="129"/>
    </row>
    <row r="19" spans="2:5">
      <c r="B19" s="131" t="s">
        <v>32</v>
      </c>
      <c r="C19" s="129" t="s">
        <v>13</v>
      </c>
      <c r="D19" s="130">
        <v>0</v>
      </c>
      <c r="E19" s="129"/>
    </row>
    <row r="20" spans="2:5">
      <c r="B20" s="131" t="s">
        <v>32</v>
      </c>
      <c r="C20" s="129" t="s">
        <v>13</v>
      </c>
      <c r="D20" s="130">
        <v>0</v>
      </c>
      <c r="E20" s="129"/>
    </row>
    <row r="21" spans="2:5">
      <c r="B21" s="131" t="s">
        <v>32</v>
      </c>
      <c r="C21" s="129" t="s">
        <v>13</v>
      </c>
      <c r="D21" s="130">
        <v>0</v>
      </c>
      <c r="E21" s="129"/>
    </row>
    <row r="22" spans="2:5">
      <c r="B22" s="134" t="s">
        <v>35</v>
      </c>
      <c r="C22" s="16"/>
      <c r="D22" s="135"/>
      <c r="E22" s="16"/>
    </row>
    <row r="23" spans="2:5">
      <c r="B23" s="130"/>
      <c r="C23" s="16"/>
      <c r="D23" s="130">
        <v>0</v>
      </c>
      <c r="E23" s="129"/>
    </row>
    <row r="24" spans="2:5">
      <c r="B24" s="130"/>
      <c r="C24" s="16"/>
      <c r="D24" s="130">
        <v>0</v>
      </c>
      <c r="E24" s="129"/>
    </row>
    <row r="25" spans="2:5">
      <c r="B25" s="130"/>
      <c r="C25" s="16"/>
      <c r="D25" s="130">
        <v>0</v>
      </c>
      <c r="E25" s="129"/>
    </row>
    <row r="26" spans="2:5">
      <c r="B26" s="130"/>
      <c r="C26" s="16"/>
      <c r="D26" s="130">
        <v>0</v>
      </c>
      <c r="E26" s="129"/>
    </row>
    <row r="27" spans="2:5">
      <c r="B27" s="130"/>
      <c r="C27" s="16"/>
      <c r="D27" s="130">
        <v>0</v>
      </c>
      <c r="E27" s="129"/>
    </row>
    <row r="28" spans="2:5">
      <c r="B28" s="134" t="s">
        <v>36</v>
      </c>
      <c r="C28" s="16"/>
      <c r="D28" s="134">
        <f>SUM(D3:D27)</f>
        <v>600</v>
      </c>
      <c r="E28" s="16"/>
    </row>
  </sheetData>
  <sheetProtection algorithmName="SHA-512" hashValue="8sYzFSNg8CJSBV169ak7PQYhNiSwRpIEeU47jbGFEy9ZpFA6M2gngMMLZOpUF2+yBH++XiBcWSjj6tmj70nYHw==" saltValue="p29N9yLMLcYNtOXD/hBFLA==" spinCount="100000" sheet="1" selectLockedCells="1" sort="0" autoFilter="0"/>
  <protectedRanges>
    <protectedRange sqref="D3:E6 D23:D27 B23:B27 B3:B6 B15:E21 B8:E13" name="Range1"/>
    <protectedRange sqref="D23:E27 B23:B27" name="Range2"/>
  </protectedRanges>
  <conditionalFormatting sqref="B3">
    <cfRule type="cellIs" dxfId="343" priority="3" operator="equal">
      <formula>"--Select activity--"</formula>
    </cfRule>
    <cfRule type="cellIs" dxfId="342" priority="4" operator="equal">
      <formula>"--Select input--"</formula>
    </cfRule>
    <cfRule type="cellIs" dxfId="341" priority="5" operator="equal">
      <formula>"--Select--"</formula>
    </cfRule>
  </conditionalFormatting>
  <conditionalFormatting sqref="B4:B6">
    <cfRule type="expression" dxfId="340" priority="1">
      <formula>"-Select activity-"</formula>
    </cfRule>
    <cfRule type="expression" dxfId="339" priority="2">
      <formula>"--Select activity--"</formula>
    </cfRule>
  </conditionalFormatting>
  <conditionalFormatting sqref="B7:B8">
    <cfRule type="cellIs" dxfId="338" priority="39" operator="equal">
      <formula>"--Select--"</formula>
    </cfRule>
    <cfRule type="cellIs" dxfId="337" priority="37" operator="equal">
      <formula>"--Select activity--"</formula>
    </cfRule>
    <cfRule type="cellIs" dxfId="336" priority="38" operator="equal">
      <formula>"--Select input--"</formula>
    </cfRule>
  </conditionalFormatting>
  <conditionalFormatting sqref="B14:B15">
    <cfRule type="cellIs" dxfId="335" priority="6" operator="equal">
      <formula>"--Select activity--"</formula>
    </cfRule>
    <cfRule type="cellIs" dxfId="334" priority="7" operator="equal">
      <formula>"--Select input--"</formula>
    </cfRule>
    <cfRule type="cellIs" dxfId="333" priority="8" operator="equal">
      <formula>"--Select--"</formula>
    </cfRule>
  </conditionalFormatting>
  <conditionalFormatting sqref="B22">
    <cfRule type="cellIs" dxfId="332" priority="28" operator="equal">
      <formula>"--Select--"</formula>
    </cfRule>
    <cfRule type="cellIs" dxfId="331" priority="26" operator="equal">
      <formula>"--Select activity--"</formula>
    </cfRule>
    <cfRule type="cellIs" dxfId="330" priority="27" operator="equal">
      <formula>"--Select input--"</formula>
    </cfRule>
  </conditionalFormatting>
  <conditionalFormatting sqref="B23:B27">
    <cfRule type="containsBlanks" dxfId="329" priority="21">
      <formula>LEN(TRIM(B23))=0</formula>
    </cfRule>
  </conditionalFormatting>
  <conditionalFormatting sqref="B28">
    <cfRule type="cellIs" dxfId="328" priority="15" operator="equal">
      <formula>"--Select activity--"</formula>
    </cfRule>
    <cfRule type="cellIs" dxfId="327" priority="16" operator="equal">
      <formula>"--Select input--"</formula>
    </cfRule>
    <cfRule type="cellIs" dxfId="326" priority="17" operator="equal">
      <formula>"--Select--"</formula>
    </cfRule>
  </conditionalFormatting>
  <conditionalFormatting sqref="B2:C2 C3 B4:C6 B9:C13 B16:C21">
    <cfRule type="cellIs" dxfId="325" priority="52" operator="equal">
      <formula>"--Select--"</formula>
    </cfRule>
    <cfRule type="cellIs" dxfId="324" priority="51" operator="equal">
      <formula>"--Select input--"</formula>
    </cfRule>
  </conditionalFormatting>
  <conditionalFormatting sqref="B9:C13 C3 B4:C6 B16:C21 B2:C2">
    <cfRule type="cellIs" dxfId="323" priority="50" stopIfTrue="1" operator="equal">
      <formula>"--Select activity--"</formula>
    </cfRule>
  </conditionalFormatting>
  <conditionalFormatting sqref="B23:C27">
    <cfRule type="cellIs" dxfId="322" priority="31" operator="equal">
      <formula>"--Select--"</formula>
    </cfRule>
    <cfRule type="cellIs" dxfId="321" priority="29" operator="equal">
      <formula>"--Select activity--"</formula>
    </cfRule>
    <cfRule type="cellIs" dxfId="320" priority="30" operator="equal">
      <formula>"--Select input--"</formula>
    </cfRule>
  </conditionalFormatting>
  <conditionalFormatting sqref="C2:C7 C9:C14 C16:C28 E2:E28">
    <cfRule type="cellIs" dxfId="319" priority="54" operator="equal">
      <formula>100</formula>
    </cfRule>
  </conditionalFormatting>
  <conditionalFormatting sqref="C3:C7">
    <cfRule type="cellIs" dxfId="318" priority="40" operator="equal">
      <formula>"--Select activity--"</formula>
    </cfRule>
    <cfRule type="cellIs" dxfId="317" priority="41" operator="equal">
      <formula>"--Select input--"</formula>
    </cfRule>
    <cfRule type="cellIs" dxfId="316" priority="42" operator="equal">
      <formula>"--Select--"</formula>
    </cfRule>
  </conditionalFormatting>
  <conditionalFormatting sqref="C9:C14">
    <cfRule type="cellIs" dxfId="315" priority="43" operator="equal">
      <formula>"--Select activity--"</formula>
    </cfRule>
    <cfRule type="cellIs" dxfId="314" priority="45" operator="equal">
      <formula>"--Select--"</formula>
    </cfRule>
    <cfRule type="cellIs" dxfId="313" priority="44" operator="equal">
      <formula>"--Select input--"</formula>
    </cfRule>
  </conditionalFormatting>
  <conditionalFormatting sqref="C16:C28">
    <cfRule type="cellIs" dxfId="312" priority="9" operator="equal">
      <formula>"--Select activity--"</formula>
    </cfRule>
    <cfRule type="cellIs" dxfId="311" priority="11" operator="equal">
      <formula>"--Select--"</formula>
    </cfRule>
    <cfRule type="cellIs" dxfId="310" priority="10" operator="equal">
      <formula>"--Select input--"</formula>
    </cfRule>
  </conditionalFormatting>
  <conditionalFormatting sqref="D3:D6 D8:D13 D15:D21">
    <cfRule type="cellIs" dxfId="309" priority="53" operator="equal">
      <formula>0</formula>
    </cfRule>
  </conditionalFormatting>
  <conditionalFormatting sqref="D7">
    <cfRule type="cellIs" dxfId="308" priority="46" operator="equal">
      <formula>"--Select activity--"</formula>
    </cfRule>
    <cfRule type="cellIs" dxfId="307" priority="47" operator="equal">
      <formula>"--Select input--"</formula>
    </cfRule>
    <cfRule type="cellIs" dxfId="306" priority="48" operator="equal">
      <formula>"--Select--"</formula>
    </cfRule>
    <cfRule type="cellIs" dxfId="305" priority="49" operator="equal">
      <formula>100</formula>
    </cfRule>
  </conditionalFormatting>
  <conditionalFormatting sqref="D23:D27">
    <cfRule type="cellIs" dxfId="304" priority="32" operator="equal">
      <formula>0</formula>
    </cfRule>
  </conditionalFormatting>
  <conditionalFormatting sqref="E2:E28">
    <cfRule type="cellIs" dxfId="303" priority="24" operator="equal">
      <formula>"--Select input--"</formula>
    </cfRule>
    <cfRule type="cellIs" dxfId="302" priority="25" operator="equal">
      <formula>"--Select--"</formula>
    </cfRule>
    <cfRule type="cellIs" dxfId="301" priority="23" operator="equal">
      <formula>"--Select activity--"</formula>
    </cfRule>
  </conditionalFormatting>
  <conditionalFormatting sqref="E3:E6 E8:E13 E15:E21">
    <cfRule type="containsBlanks" dxfId="300" priority="33">
      <formula>LEN(TRIM(E3))=0</formula>
    </cfRule>
  </conditionalFormatting>
  <conditionalFormatting sqref="E23:E27">
    <cfRule type="containsBlanks" dxfId="299" priority="22">
      <formula>LEN(TRIM(E23))=0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F6A159A-6ECD-4ED2-B37B-F376CA0B41A7}">
          <x14:formula1>
            <xm:f>'Validation tables'!$AH$4:$AH$5</xm:f>
          </x14:formula1>
          <xm:sqref>B3</xm:sqref>
        </x14:dataValidation>
        <x14:dataValidation type="list" allowBlank="1" showInputMessage="1" showErrorMessage="1" xr:uid="{F4EDD887-5D8D-461F-81E1-B0A130B05687}">
          <x14:formula1>
            <xm:f>'Validation tables'!$AG$3:$AG$6</xm:f>
          </x14:formula1>
          <xm:sqref>B4:B6</xm:sqref>
        </x14:dataValidation>
        <x14:dataValidation type="list" allowBlank="1" showInputMessage="1" showErrorMessage="1" xr:uid="{CC7FD188-3BBA-426F-8A37-DB93D619727A}">
          <x14:formula1>
            <xm:f>'Validation tables'!$AL$2:$AL$3</xm:f>
          </x14:formula1>
          <xm:sqref>B8 B15</xm:sqref>
        </x14:dataValidation>
        <x14:dataValidation type="list" allowBlank="1" showInputMessage="1" showErrorMessage="1" xr:uid="{EF8E9383-D724-4A5F-9E6F-0CF98F5DF2E7}">
          <x14:formula1>
            <xm:f>'Validation tables'!$AI$2:$AI$8</xm:f>
          </x14:formula1>
          <xm:sqref>B16:B21</xm:sqref>
        </x14:dataValidation>
        <x14:dataValidation type="list" allowBlank="1" showInputMessage="1" showErrorMessage="1" xr:uid="{79723F5F-0750-484C-8A5B-4098568DFBFD}">
          <x14:formula1>
            <xm:f>'Validation tables'!$Z$2:$Z$4</xm:f>
          </x14:formula1>
          <xm:sqref>C9:C13 C16:C21</xm:sqref>
        </x14:dataValidation>
        <x14:dataValidation type="list" allowBlank="1" showInputMessage="1" showErrorMessage="1" xr:uid="{D69A9E8D-7FE6-48CD-B325-74163D485EE8}">
          <x14:formula1>
            <xm:f>'Validation tables'!$AI$2:$AI$9</xm:f>
          </x14:formula1>
          <xm:sqref>B9:B13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3D2FE-58C6-43E1-8D11-B2C8AE54D15A}">
  <sheetPr>
    <tabColor rgb="FF22A196"/>
  </sheetPr>
  <dimension ref="A1:S67"/>
  <sheetViews>
    <sheetView showGridLines="0" topLeftCell="B1" zoomScaleNormal="100" workbookViewId="0">
      <pane ySplit="5" topLeftCell="A39" activePane="bottomLeft" state="frozen"/>
      <selection activeCell="B50" sqref="B50"/>
      <selection pane="bottomLeft" activeCell="J37" sqref="J37"/>
    </sheetView>
  </sheetViews>
  <sheetFormatPr defaultColWidth="8.796875" defaultRowHeight="14"/>
  <cols>
    <col min="1" max="1" width="2.5" hidden="1" customWidth="1"/>
    <col min="2" max="2" width="35.5" customWidth="1"/>
    <col min="3" max="18" width="12.69921875" customWidth="1"/>
    <col min="19" max="19" width="46" customWidth="1"/>
  </cols>
  <sheetData>
    <row r="1" spans="1:19" ht="25.8">
      <c r="A1" s="136"/>
      <c r="B1" s="137" t="s">
        <v>207</v>
      </c>
      <c r="C1" s="138">
        <f>PlotSizeHa</f>
        <v>5</v>
      </c>
      <c r="D1" s="139"/>
      <c r="E1" s="140"/>
      <c r="F1" s="140"/>
      <c r="G1" s="140"/>
      <c r="H1" s="140"/>
      <c r="I1" s="140"/>
      <c r="J1" s="140"/>
      <c r="K1" s="140"/>
      <c r="L1" s="140"/>
      <c r="M1" s="140"/>
      <c r="N1" s="140"/>
      <c r="O1" s="140"/>
      <c r="P1" s="140"/>
      <c r="Q1" s="140"/>
      <c r="R1" s="140"/>
      <c r="S1" s="140"/>
    </row>
    <row r="2" spans="1:19">
      <c r="A2" s="136"/>
      <c r="B2" s="141"/>
      <c r="C2" s="213" t="s">
        <v>281</v>
      </c>
      <c r="D2" s="214"/>
      <c r="E2" s="213" t="s">
        <v>282</v>
      </c>
      <c r="F2" s="214"/>
      <c r="G2" s="213" t="s">
        <v>283</v>
      </c>
      <c r="H2" s="214"/>
      <c r="I2" s="213" t="s">
        <v>284</v>
      </c>
      <c r="J2" s="214"/>
      <c r="K2" s="213" t="s">
        <v>285</v>
      </c>
      <c r="L2" s="214"/>
      <c r="M2" s="213" t="s">
        <v>286</v>
      </c>
      <c r="N2" s="214"/>
      <c r="O2" s="213" t="s">
        <v>287</v>
      </c>
      <c r="P2" s="214"/>
      <c r="Q2" s="213" t="s">
        <v>288</v>
      </c>
      <c r="R2" s="214"/>
      <c r="S2" s="142"/>
    </row>
    <row r="3" spans="1:19">
      <c r="A3" s="136"/>
      <c r="B3" s="143" t="s">
        <v>206</v>
      </c>
      <c r="C3" s="144" t="s">
        <v>24</v>
      </c>
      <c r="D3" s="145" t="s">
        <v>44</v>
      </c>
      <c r="E3" s="144" t="s">
        <v>24</v>
      </c>
      <c r="F3" s="145" t="s">
        <v>44</v>
      </c>
      <c r="G3" s="144" t="s">
        <v>24</v>
      </c>
      <c r="H3" s="145" t="s">
        <v>44</v>
      </c>
      <c r="I3" s="144" t="s">
        <v>24</v>
      </c>
      <c r="J3" s="145" t="s">
        <v>44</v>
      </c>
      <c r="K3" s="144" t="s">
        <v>24</v>
      </c>
      <c r="L3" s="145" t="s">
        <v>44</v>
      </c>
      <c r="M3" s="144" t="s">
        <v>24</v>
      </c>
      <c r="N3" s="145" t="s">
        <v>44</v>
      </c>
      <c r="O3" s="144" t="s">
        <v>24</v>
      </c>
      <c r="P3" s="145" t="s">
        <v>44</v>
      </c>
      <c r="Q3" s="144" t="s">
        <v>24</v>
      </c>
      <c r="R3" s="145" t="s">
        <v>44</v>
      </c>
      <c r="S3" s="146" t="s">
        <v>23</v>
      </c>
    </row>
    <row r="4" spans="1:19">
      <c r="A4" s="136"/>
      <c r="B4" s="141" t="s">
        <v>208</v>
      </c>
      <c r="C4" s="175" t="s">
        <v>194</v>
      </c>
      <c r="D4" s="176">
        <v>600</v>
      </c>
      <c r="E4" s="175" t="s">
        <v>191</v>
      </c>
      <c r="F4" s="176">
        <v>500</v>
      </c>
      <c r="G4" s="175" t="s">
        <v>13</v>
      </c>
      <c r="H4" s="176">
        <v>0</v>
      </c>
      <c r="I4" s="175" t="s">
        <v>13</v>
      </c>
      <c r="J4" s="176">
        <v>0</v>
      </c>
      <c r="K4" s="175" t="s">
        <v>13</v>
      </c>
      <c r="L4" s="176">
        <v>0</v>
      </c>
      <c r="M4" s="175" t="s">
        <v>13</v>
      </c>
      <c r="N4" s="176">
        <v>0</v>
      </c>
      <c r="O4" s="175" t="s">
        <v>13</v>
      </c>
      <c r="P4" s="176">
        <v>0</v>
      </c>
      <c r="Q4" s="175" t="s">
        <v>13</v>
      </c>
      <c r="R4" s="176">
        <v>0</v>
      </c>
      <c r="S4" s="31"/>
    </row>
    <row r="5" spans="1:19">
      <c r="A5" s="136"/>
      <c r="B5" s="141" t="s">
        <v>209</v>
      </c>
      <c r="C5" s="149"/>
      <c r="D5" s="150">
        <f>IF($C1&lt;&gt;"", D4/$C1, "no plot size")</f>
        <v>120</v>
      </c>
      <c r="E5" s="149"/>
      <c r="F5" s="150">
        <f>IF($C1&lt;&gt;"", F4/$C1, "no plot size")</f>
        <v>100</v>
      </c>
      <c r="G5" s="149"/>
      <c r="H5" s="150">
        <f>IF($C1&lt;&gt;"", H4/$C1, "no plot size")</f>
        <v>0</v>
      </c>
      <c r="I5" s="149"/>
      <c r="J5" s="150">
        <f>IF($C1&lt;&gt;"", J4/$C1, "no plot size")</f>
        <v>0</v>
      </c>
      <c r="K5" s="149"/>
      <c r="L5" s="150">
        <f>IF($C1&lt;&gt;"", L4/$C1, "no plot size")</f>
        <v>0</v>
      </c>
      <c r="M5" s="149"/>
      <c r="N5" s="150">
        <f>IF($C1&lt;&gt;"", N4/$C1, "no plot size")</f>
        <v>0</v>
      </c>
      <c r="O5" s="149"/>
      <c r="P5" s="150">
        <f>IF($C1&lt;&gt;"", P4/$C1, "no plot size")</f>
        <v>0</v>
      </c>
      <c r="Q5" s="149"/>
      <c r="R5" s="150">
        <f>IF($C1&lt;&gt;"", R4/$C1, "no plot size")</f>
        <v>0</v>
      </c>
      <c r="S5" s="31"/>
    </row>
    <row r="6" spans="1:19">
      <c r="A6" s="136"/>
      <c r="B6" s="151"/>
      <c r="C6" s="152"/>
      <c r="D6" s="153"/>
      <c r="E6" s="152"/>
      <c r="F6" s="153"/>
      <c r="G6" s="152"/>
      <c r="H6" s="153"/>
      <c r="I6" s="152"/>
      <c r="J6" s="153"/>
      <c r="K6" s="152"/>
      <c r="L6" s="153"/>
      <c r="M6" s="152"/>
      <c r="N6" s="153"/>
      <c r="O6" s="152"/>
      <c r="P6" s="153"/>
      <c r="Q6" s="152"/>
      <c r="R6" s="153"/>
    </row>
    <row r="7" spans="1:19">
      <c r="A7" s="136"/>
      <c r="B7" s="143" t="s">
        <v>210</v>
      </c>
      <c r="C7" s="144" t="s">
        <v>41</v>
      </c>
      <c r="D7" s="145" t="s">
        <v>290</v>
      </c>
      <c r="E7" s="144" t="s">
        <v>41</v>
      </c>
      <c r="F7" s="145" t="s">
        <v>290</v>
      </c>
      <c r="G7" s="144" t="s">
        <v>41</v>
      </c>
      <c r="H7" s="145" t="s">
        <v>290</v>
      </c>
      <c r="I7" s="144" t="s">
        <v>41</v>
      </c>
      <c r="J7" s="145" t="s">
        <v>290</v>
      </c>
      <c r="K7" s="144" t="s">
        <v>41</v>
      </c>
      <c r="L7" s="145" t="s">
        <v>290</v>
      </c>
      <c r="M7" s="144" t="s">
        <v>41</v>
      </c>
      <c r="N7" s="145" t="s">
        <v>290</v>
      </c>
      <c r="O7" s="144" t="s">
        <v>41</v>
      </c>
      <c r="P7" s="145" t="s">
        <v>290</v>
      </c>
      <c r="Q7" s="144" t="s">
        <v>41</v>
      </c>
      <c r="R7" s="145" t="s">
        <v>290</v>
      </c>
      <c r="S7" s="146" t="s">
        <v>23</v>
      </c>
    </row>
    <row r="8" spans="1:19">
      <c r="A8" s="136"/>
      <c r="B8" s="154" t="s">
        <v>211</v>
      </c>
      <c r="C8" s="155"/>
      <c r="D8" s="148"/>
      <c r="E8" s="155"/>
      <c r="F8" s="148"/>
      <c r="G8" s="155"/>
      <c r="H8" s="148"/>
      <c r="I8" s="155"/>
      <c r="J8" s="148"/>
      <c r="K8" s="155"/>
      <c r="L8" s="148"/>
      <c r="M8" s="155"/>
      <c r="N8" s="148"/>
      <c r="O8" s="155"/>
      <c r="P8" s="148"/>
      <c r="Q8" s="155"/>
      <c r="R8" s="148"/>
      <c r="S8" s="135"/>
    </row>
    <row r="9" spans="1:19">
      <c r="A9" s="136"/>
      <c r="B9" s="177" t="s">
        <v>65</v>
      </c>
      <c r="C9" s="175"/>
      <c r="D9" s="176">
        <v>55</v>
      </c>
      <c r="E9" s="175"/>
      <c r="F9" s="176">
        <v>0</v>
      </c>
      <c r="G9" s="175"/>
      <c r="H9" s="176">
        <v>0</v>
      </c>
      <c r="I9" s="175"/>
      <c r="J9" s="176">
        <v>0</v>
      </c>
      <c r="K9" s="175"/>
      <c r="L9" s="176">
        <v>0</v>
      </c>
      <c r="M9" s="175"/>
      <c r="N9" s="176">
        <v>0</v>
      </c>
      <c r="O9" s="175"/>
      <c r="P9" s="176">
        <v>0</v>
      </c>
      <c r="Q9" s="175"/>
      <c r="R9" s="176">
        <v>0</v>
      </c>
      <c r="S9" s="130"/>
    </row>
    <row r="10" spans="1:19">
      <c r="A10" s="135" t="s">
        <v>31</v>
      </c>
      <c r="B10" s="177" t="s">
        <v>32</v>
      </c>
      <c r="C10" s="178" t="s">
        <v>13</v>
      </c>
      <c r="D10" s="176">
        <v>0</v>
      </c>
      <c r="E10" s="178" t="s">
        <v>13</v>
      </c>
      <c r="F10" s="176">
        <v>0</v>
      </c>
      <c r="G10" s="178" t="s">
        <v>13</v>
      </c>
      <c r="H10" s="176">
        <v>0</v>
      </c>
      <c r="I10" s="178" t="s">
        <v>13</v>
      </c>
      <c r="J10" s="176">
        <v>0</v>
      </c>
      <c r="K10" s="178" t="s">
        <v>13</v>
      </c>
      <c r="L10" s="176">
        <v>0</v>
      </c>
      <c r="M10" s="178" t="s">
        <v>13</v>
      </c>
      <c r="N10" s="176">
        <v>0</v>
      </c>
      <c r="O10" s="178" t="s">
        <v>13</v>
      </c>
      <c r="P10" s="176">
        <v>0</v>
      </c>
      <c r="Q10" s="178" t="s">
        <v>13</v>
      </c>
      <c r="R10" s="176">
        <v>0</v>
      </c>
      <c r="S10" s="130"/>
    </row>
    <row r="11" spans="1:19">
      <c r="A11" s="135" t="s">
        <v>31</v>
      </c>
      <c r="B11" s="177" t="s">
        <v>31</v>
      </c>
      <c r="C11" s="175"/>
      <c r="D11" s="176">
        <v>0</v>
      </c>
      <c r="E11" s="175"/>
      <c r="F11" s="176">
        <v>0</v>
      </c>
      <c r="G11" s="175"/>
      <c r="H11" s="176">
        <v>0</v>
      </c>
      <c r="I11" s="175"/>
      <c r="J11" s="176">
        <v>0</v>
      </c>
      <c r="K11" s="175"/>
      <c r="L11" s="176">
        <v>0</v>
      </c>
      <c r="M11" s="175"/>
      <c r="N11" s="176">
        <v>0</v>
      </c>
      <c r="O11" s="175"/>
      <c r="P11" s="176">
        <v>0</v>
      </c>
      <c r="Q11" s="175"/>
      <c r="R11" s="176">
        <v>0</v>
      </c>
      <c r="S11" s="130"/>
    </row>
    <row r="12" spans="1:19">
      <c r="A12" s="135" t="s">
        <v>31</v>
      </c>
      <c r="B12" s="177" t="s">
        <v>32</v>
      </c>
      <c r="C12" s="178" t="s">
        <v>13</v>
      </c>
      <c r="D12" s="176">
        <v>0</v>
      </c>
      <c r="E12" s="178" t="s">
        <v>13</v>
      </c>
      <c r="F12" s="176">
        <v>0</v>
      </c>
      <c r="G12" s="178" t="s">
        <v>13</v>
      </c>
      <c r="H12" s="176">
        <v>0</v>
      </c>
      <c r="I12" s="178" t="s">
        <v>13</v>
      </c>
      <c r="J12" s="176">
        <v>0</v>
      </c>
      <c r="K12" s="178" t="s">
        <v>13</v>
      </c>
      <c r="L12" s="176">
        <v>0</v>
      </c>
      <c r="M12" s="178" t="s">
        <v>13</v>
      </c>
      <c r="N12" s="176">
        <v>0</v>
      </c>
      <c r="O12" s="178" t="s">
        <v>13</v>
      </c>
      <c r="P12" s="176">
        <v>0</v>
      </c>
      <c r="Q12" s="178" t="s">
        <v>13</v>
      </c>
      <c r="R12" s="176">
        <v>0</v>
      </c>
      <c r="S12" s="130"/>
    </row>
    <row r="13" spans="1:19">
      <c r="A13" s="135" t="s">
        <v>31</v>
      </c>
      <c r="B13" s="177" t="s">
        <v>31</v>
      </c>
      <c r="C13" s="175"/>
      <c r="D13" s="176">
        <v>0</v>
      </c>
      <c r="E13" s="175"/>
      <c r="F13" s="176">
        <v>0</v>
      </c>
      <c r="G13" s="175"/>
      <c r="H13" s="176">
        <v>0</v>
      </c>
      <c r="I13" s="175"/>
      <c r="J13" s="176">
        <v>0</v>
      </c>
      <c r="K13" s="175"/>
      <c r="L13" s="176">
        <v>0</v>
      </c>
      <c r="M13" s="175"/>
      <c r="N13" s="176">
        <v>0</v>
      </c>
      <c r="O13" s="175"/>
      <c r="P13" s="176">
        <v>0</v>
      </c>
      <c r="Q13" s="175"/>
      <c r="R13" s="176">
        <v>0</v>
      </c>
      <c r="S13" s="130"/>
    </row>
    <row r="14" spans="1:19">
      <c r="A14" s="135" t="s">
        <v>31</v>
      </c>
      <c r="B14" s="177" t="s">
        <v>32</v>
      </c>
      <c r="C14" s="178" t="s">
        <v>13</v>
      </c>
      <c r="D14" s="176">
        <v>0</v>
      </c>
      <c r="E14" s="178" t="s">
        <v>13</v>
      </c>
      <c r="F14" s="176">
        <v>0</v>
      </c>
      <c r="G14" s="178" t="s">
        <v>13</v>
      </c>
      <c r="H14" s="176">
        <v>0</v>
      </c>
      <c r="I14" s="178" t="s">
        <v>13</v>
      </c>
      <c r="J14" s="176">
        <v>0</v>
      </c>
      <c r="K14" s="178" t="s">
        <v>13</v>
      </c>
      <c r="L14" s="176">
        <v>0</v>
      </c>
      <c r="M14" s="178" t="s">
        <v>13</v>
      </c>
      <c r="N14" s="176">
        <v>0</v>
      </c>
      <c r="O14" s="178" t="s">
        <v>13</v>
      </c>
      <c r="P14" s="176">
        <v>0</v>
      </c>
      <c r="Q14" s="178" t="s">
        <v>13</v>
      </c>
      <c r="R14" s="176">
        <v>0</v>
      </c>
      <c r="S14" s="130"/>
    </row>
    <row r="15" spans="1:19">
      <c r="A15" s="135" t="s">
        <v>31</v>
      </c>
      <c r="B15" s="177" t="s">
        <v>31</v>
      </c>
      <c r="C15" s="175"/>
      <c r="D15" s="176">
        <v>0</v>
      </c>
      <c r="E15" s="175"/>
      <c r="F15" s="176">
        <v>0</v>
      </c>
      <c r="G15" s="175"/>
      <c r="H15" s="176">
        <v>0</v>
      </c>
      <c r="I15" s="175"/>
      <c r="J15" s="176">
        <v>0</v>
      </c>
      <c r="K15" s="175"/>
      <c r="L15" s="176">
        <v>0</v>
      </c>
      <c r="M15" s="175"/>
      <c r="N15" s="176">
        <v>0</v>
      </c>
      <c r="O15" s="175"/>
      <c r="P15" s="176">
        <v>0</v>
      </c>
      <c r="Q15" s="175"/>
      <c r="R15" s="176">
        <v>0</v>
      </c>
      <c r="S15" s="130"/>
    </row>
    <row r="16" spans="1:19">
      <c r="A16" s="135" t="s">
        <v>31</v>
      </c>
      <c r="B16" s="177" t="s">
        <v>32</v>
      </c>
      <c r="C16" s="178" t="s">
        <v>13</v>
      </c>
      <c r="D16" s="176">
        <v>0</v>
      </c>
      <c r="E16" s="178" t="s">
        <v>13</v>
      </c>
      <c r="F16" s="176">
        <v>0</v>
      </c>
      <c r="G16" s="178" t="s">
        <v>13</v>
      </c>
      <c r="H16" s="176">
        <v>0</v>
      </c>
      <c r="I16" s="178" t="s">
        <v>13</v>
      </c>
      <c r="J16" s="176">
        <v>0</v>
      </c>
      <c r="K16" s="178" t="s">
        <v>13</v>
      </c>
      <c r="L16" s="176">
        <v>0</v>
      </c>
      <c r="M16" s="178" t="s">
        <v>13</v>
      </c>
      <c r="N16" s="176">
        <v>0</v>
      </c>
      <c r="O16" s="178" t="s">
        <v>13</v>
      </c>
      <c r="P16" s="176">
        <v>0</v>
      </c>
      <c r="Q16" s="178" t="s">
        <v>13</v>
      </c>
      <c r="R16" s="176">
        <v>0</v>
      </c>
      <c r="S16" s="130"/>
    </row>
    <row r="17" spans="1:19">
      <c r="A17" s="135" t="s">
        <v>31</v>
      </c>
      <c r="B17" s="177" t="s">
        <v>31</v>
      </c>
      <c r="C17" s="175"/>
      <c r="D17" s="176">
        <v>0</v>
      </c>
      <c r="E17" s="175"/>
      <c r="F17" s="176">
        <v>0</v>
      </c>
      <c r="G17" s="175"/>
      <c r="H17" s="176">
        <v>0</v>
      </c>
      <c r="I17" s="175"/>
      <c r="J17" s="176">
        <v>0</v>
      </c>
      <c r="K17" s="175"/>
      <c r="L17" s="176">
        <v>0</v>
      </c>
      <c r="M17" s="175"/>
      <c r="N17" s="176">
        <v>0</v>
      </c>
      <c r="O17" s="175"/>
      <c r="P17" s="176">
        <v>0</v>
      </c>
      <c r="Q17" s="175"/>
      <c r="R17" s="176">
        <v>0</v>
      </c>
      <c r="S17" s="130"/>
    </row>
    <row r="18" spans="1:19">
      <c r="A18" s="135" t="s">
        <v>31</v>
      </c>
      <c r="B18" s="177" t="s">
        <v>32</v>
      </c>
      <c r="C18" s="178" t="s">
        <v>13</v>
      </c>
      <c r="D18" s="176">
        <v>0</v>
      </c>
      <c r="E18" s="178" t="s">
        <v>13</v>
      </c>
      <c r="F18" s="176">
        <v>0</v>
      </c>
      <c r="G18" s="178" t="s">
        <v>13</v>
      </c>
      <c r="H18" s="176">
        <v>0</v>
      </c>
      <c r="I18" s="178" t="s">
        <v>13</v>
      </c>
      <c r="J18" s="176">
        <v>0</v>
      </c>
      <c r="K18" s="178" t="s">
        <v>13</v>
      </c>
      <c r="L18" s="176">
        <v>0</v>
      </c>
      <c r="M18" s="178" t="s">
        <v>13</v>
      </c>
      <c r="N18" s="176">
        <v>0</v>
      </c>
      <c r="O18" s="178" t="s">
        <v>13</v>
      </c>
      <c r="P18" s="176">
        <v>0</v>
      </c>
      <c r="Q18" s="178" t="s">
        <v>13</v>
      </c>
      <c r="R18" s="176">
        <v>0</v>
      </c>
      <c r="S18" s="130"/>
    </row>
    <row r="19" spans="1:19">
      <c r="A19" s="135" t="s">
        <v>31</v>
      </c>
      <c r="B19" s="177" t="s">
        <v>31</v>
      </c>
      <c r="C19" s="175"/>
      <c r="D19" s="176">
        <v>0</v>
      </c>
      <c r="E19" s="175"/>
      <c r="F19" s="176">
        <v>0</v>
      </c>
      <c r="G19" s="175"/>
      <c r="H19" s="176">
        <v>0</v>
      </c>
      <c r="I19" s="175"/>
      <c r="J19" s="176">
        <v>0</v>
      </c>
      <c r="K19" s="175"/>
      <c r="L19" s="176">
        <v>0</v>
      </c>
      <c r="M19" s="175"/>
      <c r="N19" s="176">
        <v>0</v>
      </c>
      <c r="O19" s="175"/>
      <c r="P19" s="176">
        <v>0</v>
      </c>
      <c r="Q19" s="175"/>
      <c r="R19" s="176">
        <v>0</v>
      </c>
      <c r="S19" s="130"/>
    </row>
    <row r="20" spans="1:19">
      <c r="A20" s="135" t="s">
        <v>31</v>
      </c>
      <c r="B20" s="177" t="s">
        <v>32</v>
      </c>
      <c r="C20" s="178" t="s">
        <v>13</v>
      </c>
      <c r="D20" s="176">
        <v>0</v>
      </c>
      <c r="E20" s="178" t="s">
        <v>13</v>
      </c>
      <c r="F20" s="176">
        <v>0</v>
      </c>
      <c r="G20" s="178" t="s">
        <v>13</v>
      </c>
      <c r="H20" s="176">
        <v>0</v>
      </c>
      <c r="I20" s="178" t="s">
        <v>13</v>
      </c>
      <c r="J20" s="176">
        <v>0</v>
      </c>
      <c r="K20" s="178" t="s">
        <v>13</v>
      </c>
      <c r="L20" s="176">
        <v>0</v>
      </c>
      <c r="M20" s="178" t="s">
        <v>13</v>
      </c>
      <c r="N20" s="176">
        <v>0</v>
      </c>
      <c r="O20" s="178" t="s">
        <v>13</v>
      </c>
      <c r="P20" s="176">
        <v>0</v>
      </c>
      <c r="Q20" s="178" t="s">
        <v>13</v>
      </c>
      <c r="R20" s="176">
        <v>0</v>
      </c>
      <c r="S20" s="130"/>
    </row>
    <row r="21" spans="1:19">
      <c r="A21" s="135" t="s">
        <v>31</v>
      </c>
      <c r="B21" s="177" t="s">
        <v>31</v>
      </c>
      <c r="C21" s="175"/>
      <c r="D21" s="176">
        <v>0</v>
      </c>
      <c r="E21" s="175"/>
      <c r="F21" s="176">
        <v>0</v>
      </c>
      <c r="G21" s="175"/>
      <c r="H21" s="176">
        <v>0</v>
      </c>
      <c r="I21" s="175"/>
      <c r="J21" s="176">
        <v>0</v>
      </c>
      <c r="K21" s="175"/>
      <c r="L21" s="176">
        <v>0</v>
      </c>
      <c r="M21" s="175"/>
      <c r="N21" s="176">
        <v>0</v>
      </c>
      <c r="O21" s="175"/>
      <c r="P21" s="176">
        <v>0</v>
      </c>
      <c r="Q21" s="175"/>
      <c r="R21" s="176">
        <v>0</v>
      </c>
      <c r="S21" s="130"/>
    </row>
    <row r="22" spans="1:19">
      <c r="A22" s="135" t="s">
        <v>31</v>
      </c>
      <c r="B22" s="177" t="s">
        <v>32</v>
      </c>
      <c r="C22" s="178" t="s">
        <v>13</v>
      </c>
      <c r="D22" s="176">
        <v>0</v>
      </c>
      <c r="E22" s="178" t="s">
        <v>13</v>
      </c>
      <c r="F22" s="176">
        <v>0</v>
      </c>
      <c r="G22" s="178" t="s">
        <v>13</v>
      </c>
      <c r="H22" s="176">
        <v>0</v>
      </c>
      <c r="I22" s="178" t="s">
        <v>13</v>
      </c>
      <c r="J22" s="176">
        <v>0</v>
      </c>
      <c r="K22" s="178" t="s">
        <v>13</v>
      </c>
      <c r="L22" s="176">
        <v>0</v>
      </c>
      <c r="M22" s="178" t="s">
        <v>13</v>
      </c>
      <c r="N22" s="176">
        <v>0</v>
      </c>
      <c r="O22" s="178" t="s">
        <v>13</v>
      </c>
      <c r="P22" s="176">
        <v>0</v>
      </c>
      <c r="Q22" s="178" t="s">
        <v>13</v>
      </c>
      <c r="R22" s="176">
        <v>0</v>
      </c>
      <c r="S22" s="130"/>
    </row>
    <row r="23" spans="1:19">
      <c r="A23" s="135" t="s">
        <v>31</v>
      </c>
      <c r="B23" s="177" t="s">
        <v>31</v>
      </c>
      <c r="C23" s="175"/>
      <c r="D23" s="176">
        <v>0</v>
      </c>
      <c r="E23" s="175"/>
      <c r="F23" s="176">
        <v>0</v>
      </c>
      <c r="G23" s="175"/>
      <c r="H23" s="176">
        <v>0</v>
      </c>
      <c r="I23" s="175"/>
      <c r="J23" s="176">
        <v>0</v>
      </c>
      <c r="K23" s="175"/>
      <c r="L23" s="176">
        <v>0</v>
      </c>
      <c r="M23" s="175"/>
      <c r="N23" s="176">
        <v>0</v>
      </c>
      <c r="O23" s="175"/>
      <c r="P23" s="176">
        <v>0</v>
      </c>
      <c r="Q23" s="175"/>
      <c r="R23" s="176">
        <v>0</v>
      </c>
      <c r="S23" s="130"/>
    </row>
    <row r="24" spans="1:19">
      <c r="A24" s="135" t="s">
        <v>31</v>
      </c>
      <c r="B24" s="177" t="s">
        <v>32</v>
      </c>
      <c r="C24" s="178" t="s">
        <v>13</v>
      </c>
      <c r="D24" s="176">
        <v>0</v>
      </c>
      <c r="E24" s="178" t="s">
        <v>13</v>
      </c>
      <c r="F24" s="176">
        <v>0</v>
      </c>
      <c r="G24" s="178" t="s">
        <v>13</v>
      </c>
      <c r="H24" s="176">
        <v>0</v>
      </c>
      <c r="I24" s="178" t="s">
        <v>13</v>
      </c>
      <c r="J24" s="176">
        <v>0</v>
      </c>
      <c r="K24" s="178" t="s">
        <v>13</v>
      </c>
      <c r="L24" s="176">
        <v>0</v>
      </c>
      <c r="M24" s="178" t="s">
        <v>13</v>
      </c>
      <c r="N24" s="176">
        <v>0</v>
      </c>
      <c r="O24" s="178" t="s">
        <v>13</v>
      </c>
      <c r="P24" s="176">
        <v>0</v>
      </c>
      <c r="Q24" s="178" t="s">
        <v>13</v>
      </c>
      <c r="R24" s="176">
        <v>0</v>
      </c>
      <c r="S24" s="130"/>
    </row>
    <row r="25" spans="1:19">
      <c r="A25" s="135" t="s">
        <v>31</v>
      </c>
      <c r="B25" s="177" t="s">
        <v>31</v>
      </c>
      <c r="C25" s="175"/>
      <c r="D25" s="176">
        <v>0</v>
      </c>
      <c r="E25" s="175"/>
      <c r="F25" s="176">
        <v>0</v>
      </c>
      <c r="G25" s="175"/>
      <c r="H25" s="176">
        <v>0</v>
      </c>
      <c r="I25" s="175"/>
      <c r="J25" s="176">
        <v>0</v>
      </c>
      <c r="K25" s="175"/>
      <c r="L25" s="176">
        <v>0</v>
      </c>
      <c r="M25" s="175"/>
      <c r="N25" s="176">
        <v>0</v>
      </c>
      <c r="O25" s="175"/>
      <c r="P25" s="176">
        <v>0</v>
      </c>
      <c r="Q25" s="175"/>
      <c r="R25" s="176">
        <v>0</v>
      </c>
      <c r="S25" s="130"/>
    </row>
    <row r="26" spans="1:19">
      <c r="A26" s="135" t="s">
        <v>31</v>
      </c>
      <c r="B26" s="177" t="s">
        <v>32</v>
      </c>
      <c r="C26" s="178" t="s">
        <v>13</v>
      </c>
      <c r="D26" s="176">
        <v>0</v>
      </c>
      <c r="E26" s="178" t="s">
        <v>13</v>
      </c>
      <c r="F26" s="176">
        <v>0</v>
      </c>
      <c r="G26" s="178" t="s">
        <v>13</v>
      </c>
      <c r="H26" s="176">
        <v>0</v>
      </c>
      <c r="I26" s="178" t="s">
        <v>13</v>
      </c>
      <c r="J26" s="176">
        <v>0</v>
      </c>
      <c r="K26" s="178" t="s">
        <v>13</v>
      </c>
      <c r="L26" s="176">
        <v>0</v>
      </c>
      <c r="M26" s="178" t="s">
        <v>13</v>
      </c>
      <c r="N26" s="176">
        <v>0</v>
      </c>
      <c r="O26" s="178" t="s">
        <v>13</v>
      </c>
      <c r="P26" s="176">
        <v>0</v>
      </c>
      <c r="Q26" s="178" t="s">
        <v>13</v>
      </c>
      <c r="R26" s="176">
        <v>0</v>
      </c>
      <c r="S26" s="130"/>
    </row>
    <row r="27" spans="1:19">
      <c r="A27" s="136"/>
      <c r="B27" s="156"/>
      <c r="C27" s="147"/>
      <c r="D27" s="148"/>
      <c r="E27" s="147"/>
      <c r="F27" s="148"/>
      <c r="G27" s="147"/>
      <c r="H27" s="148"/>
      <c r="I27" s="147"/>
      <c r="J27" s="148"/>
      <c r="K27" s="147"/>
      <c r="L27" s="148"/>
      <c r="M27" s="147"/>
      <c r="N27" s="148"/>
      <c r="O27" s="147"/>
      <c r="P27" s="148"/>
      <c r="Q27" s="147"/>
      <c r="R27" s="148"/>
      <c r="S27" s="135"/>
    </row>
    <row r="28" spans="1:19">
      <c r="A28" s="136"/>
      <c r="B28" s="154" t="s">
        <v>212</v>
      </c>
      <c r="C28" s="155"/>
      <c r="D28" s="157">
        <f>SUM(D9:D27)</f>
        <v>55</v>
      </c>
      <c r="E28" s="155"/>
      <c r="F28" s="157">
        <f>SUM(F9:F27)</f>
        <v>0</v>
      </c>
      <c r="G28" s="155"/>
      <c r="H28" s="157">
        <f>SUM(H9:H27)</f>
        <v>0</v>
      </c>
      <c r="I28" s="155"/>
      <c r="J28" s="157">
        <f>SUM(J9:J27)</f>
        <v>0</v>
      </c>
      <c r="K28" s="155"/>
      <c r="L28" s="157">
        <f>SUM(L9:L27)</f>
        <v>0</v>
      </c>
      <c r="M28" s="155"/>
      <c r="N28" s="157">
        <f>SUM(N9:N27)</f>
        <v>0</v>
      </c>
      <c r="O28" s="155"/>
      <c r="P28" s="157">
        <f>SUM(P9:P27)</f>
        <v>0</v>
      </c>
      <c r="Q28" s="155"/>
      <c r="R28" s="157">
        <f>SUM(R9:R27)</f>
        <v>0</v>
      </c>
      <c r="S28" s="135"/>
    </row>
    <row r="29" spans="1:19">
      <c r="A29" s="136"/>
      <c r="B29" s="158" t="s">
        <v>213</v>
      </c>
      <c r="C29" s="159"/>
      <c r="D29" s="160"/>
      <c r="E29" s="159"/>
      <c r="F29" s="160"/>
      <c r="G29" s="159"/>
      <c r="H29" s="160"/>
      <c r="I29" s="159"/>
      <c r="J29" s="160"/>
      <c r="K29" s="159"/>
      <c r="L29" s="160"/>
      <c r="M29" s="159"/>
      <c r="N29" s="160"/>
      <c r="O29" s="159"/>
      <c r="P29" s="160"/>
      <c r="Q29" s="159"/>
      <c r="R29" s="160"/>
      <c r="S29" s="140"/>
    </row>
    <row r="30" spans="1:19">
      <c r="A30" s="136"/>
      <c r="B30" s="179" t="s">
        <v>31</v>
      </c>
      <c r="C30" s="180"/>
      <c r="D30" s="181">
        <v>100</v>
      </c>
      <c r="E30" s="180"/>
      <c r="F30" s="181">
        <v>75</v>
      </c>
      <c r="G30" s="180"/>
      <c r="H30" s="181">
        <v>0</v>
      </c>
      <c r="I30" s="180"/>
      <c r="J30" s="181">
        <v>0</v>
      </c>
      <c r="K30" s="180"/>
      <c r="L30" s="181">
        <v>0</v>
      </c>
      <c r="M30" s="180"/>
      <c r="N30" s="181">
        <v>0</v>
      </c>
      <c r="O30" s="180"/>
      <c r="P30" s="181">
        <v>0</v>
      </c>
      <c r="Q30" s="180"/>
      <c r="R30" s="181">
        <v>0</v>
      </c>
      <c r="S30" s="31"/>
    </row>
    <row r="31" spans="1:19">
      <c r="A31" s="136"/>
      <c r="B31" s="179" t="s">
        <v>32</v>
      </c>
      <c r="C31" s="178" t="s">
        <v>13</v>
      </c>
      <c r="D31" s="181">
        <v>0</v>
      </c>
      <c r="E31" s="178" t="s">
        <v>13</v>
      </c>
      <c r="F31" s="181">
        <v>0</v>
      </c>
      <c r="G31" s="178" t="s">
        <v>13</v>
      </c>
      <c r="H31" s="181">
        <v>0</v>
      </c>
      <c r="I31" s="178" t="s">
        <v>13</v>
      </c>
      <c r="J31" s="181">
        <v>0</v>
      </c>
      <c r="K31" s="178" t="s">
        <v>13</v>
      </c>
      <c r="L31" s="181">
        <v>0</v>
      </c>
      <c r="M31" s="178" t="s">
        <v>13</v>
      </c>
      <c r="N31" s="181">
        <v>0</v>
      </c>
      <c r="O31" s="178" t="s">
        <v>13</v>
      </c>
      <c r="P31" s="181">
        <v>0</v>
      </c>
      <c r="Q31" s="178" t="s">
        <v>13</v>
      </c>
      <c r="R31" s="181">
        <v>0</v>
      </c>
      <c r="S31" s="31"/>
    </row>
    <row r="32" spans="1:19">
      <c r="A32" s="136"/>
      <c r="B32" s="179" t="s">
        <v>31</v>
      </c>
      <c r="C32" s="180"/>
      <c r="D32" s="181">
        <v>0</v>
      </c>
      <c r="E32" s="180"/>
      <c r="F32" s="181">
        <v>0</v>
      </c>
      <c r="G32" s="180"/>
      <c r="H32" s="181">
        <v>0</v>
      </c>
      <c r="I32" s="180"/>
      <c r="J32" s="181">
        <v>0</v>
      </c>
      <c r="K32" s="180"/>
      <c r="L32" s="181">
        <v>0</v>
      </c>
      <c r="M32" s="180"/>
      <c r="N32" s="181">
        <v>0</v>
      </c>
      <c r="O32" s="180"/>
      <c r="P32" s="181">
        <v>0</v>
      </c>
      <c r="Q32" s="180"/>
      <c r="R32" s="181">
        <v>0</v>
      </c>
      <c r="S32" s="31"/>
    </row>
    <row r="33" spans="1:19">
      <c r="A33" s="136"/>
      <c r="B33" s="179" t="s">
        <v>32</v>
      </c>
      <c r="C33" s="178" t="s">
        <v>13</v>
      </c>
      <c r="D33" s="181">
        <v>0</v>
      </c>
      <c r="E33" s="178" t="s">
        <v>13</v>
      </c>
      <c r="F33" s="181">
        <v>0</v>
      </c>
      <c r="G33" s="178" t="s">
        <v>13</v>
      </c>
      <c r="H33" s="181">
        <v>0</v>
      </c>
      <c r="I33" s="178" t="s">
        <v>13</v>
      </c>
      <c r="J33" s="181">
        <v>0</v>
      </c>
      <c r="K33" s="178" t="s">
        <v>13</v>
      </c>
      <c r="L33" s="181">
        <v>0</v>
      </c>
      <c r="M33" s="178" t="s">
        <v>13</v>
      </c>
      <c r="N33" s="181">
        <v>0</v>
      </c>
      <c r="O33" s="178" t="s">
        <v>13</v>
      </c>
      <c r="P33" s="181">
        <v>0</v>
      </c>
      <c r="Q33" s="178" t="s">
        <v>13</v>
      </c>
      <c r="R33" s="181">
        <v>0</v>
      </c>
      <c r="S33" s="31"/>
    </row>
    <row r="34" spans="1:19">
      <c r="A34" s="136"/>
      <c r="B34" s="179" t="s">
        <v>31</v>
      </c>
      <c r="C34" s="180"/>
      <c r="D34" s="181">
        <v>0</v>
      </c>
      <c r="E34" s="180"/>
      <c r="F34" s="181">
        <v>0</v>
      </c>
      <c r="G34" s="180"/>
      <c r="H34" s="181">
        <v>0</v>
      </c>
      <c r="I34" s="180"/>
      <c r="J34" s="181">
        <v>0</v>
      </c>
      <c r="K34" s="180"/>
      <c r="L34" s="181">
        <v>0</v>
      </c>
      <c r="M34" s="180"/>
      <c r="N34" s="181">
        <v>0</v>
      </c>
      <c r="O34" s="180"/>
      <c r="P34" s="181">
        <v>0</v>
      </c>
      <c r="Q34" s="180"/>
      <c r="R34" s="181">
        <v>0</v>
      </c>
      <c r="S34" s="31"/>
    </row>
    <row r="35" spans="1:19">
      <c r="A35" s="136"/>
      <c r="B35" s="179" t="s">
        <v>32</v>
      </c>
      <c r="C35" s="178" t="s">
        <v>13</v>
      </c>
      <c r="D35" s="181">
        <v>0</v>
      </c>
      <c r="E35" s="178" t="s">
        <v>13</v>
      </c>
      <c r="F35" s="181">
        <v>0</v>
      </c>
      <c r="G35" s="178" t="s">
        <v>13</v>
      </c>
      <c r="H35" s="181">
        <v>0</v>
      </c>
      <c r="I35" s="178" t="s">
        <v>13</v>
      </c>
      <c r="J35" s="181">
        <v>0</v>
      </c>
      <c r="K35" s="178" t="s">
        <v>13</v>
      </c>
      <c r="L35" s="181">
        <v>0</v>
      </c>
      <c r="M35" s="178" t="s">
        <v>13</v>
      </c>
      <c r="N35" s="181">
        <v>0</v>
      </c>
      <c r="O35" s="178" t="s">
        <v>13</v>
      </c>
      <c r="P35" s="181">
        <v>0</v>
      </c>
      <c r="Q35" s="178" t="s">
        <v>13</v>
      </c>
      <c r="R35" s="181">
        <v>0</v>
      </c>
      <c r="S35" s="31"/>
    </row>
    <row r="36" spans="1:19">
      <c r="A36" s="136"/>
      <c r="B36" s="179" t="s">
        <v>31</v>
      </c>
      <c r="C36" s="180"/>
      <c r="D36" s="181">
        <v>0</v>
      </c>
      <c r="E36" s="180"/>
      <c r="F36" s="181">
        <v>0</v>
      </c>
      <c r="G36" s="180"/>
      <c r="H36" s="181">
        <v>0</v>
      </c>
      <c r="I36" s="180"/>
      <c r="J36" s="181">
        <v>0</v>
      </c>
      <c r="K36" s="180"/>
      <c r="L36" s="181">
        <v>0</v>
      </c>
      <c r="M36" s="180"/>
      <c r="N36" s="181">
        <v>0</v>
      </c>
      <c r="O36" s="180"/>
      <c r="P36" s="181">
        <v>0</v>
      </c>
      <c r="Q36" s="180"/>
      <c r="R36" s="181">
        <v>0</v>
      </c>
      <c r="S36" s="31"/>
    </row>
    <row r="37" spans="1:19">
      <c r="A37" s="136"/>
      <c r="B37" s="179" t="s">
        <v>32</v>
      </c>
      <c r="C37" s="178" t="s">
        <v>13</v>
      </c>
      <c r="D37" s="181">
        <v>0</v>
      </c>
      <c r="E37" s="178" t="s">
        <v>13</v>
      </c>
      <c r="F37" s="181">
        <v>0</v>
      </c>
      <c r="G37" s="178" t="s">
        <v>13</v>
      </c>
      <c r="H37" s="181">
        <v>0</v>
      </c>
      <c r="I37" s="178" t="s">
        <v>13</v>
      </c>
      <c r="J37" s="181">
        <v>0</v>
      </c>
      <c r="K37" s="178" t="s">
        <v>13</v>
      </c>
      <c r="L37" s="181">
        <v>0</v>
      </c>
      <c r="M37" s="178" t="s">
        <v>13</v>
      </c>
      <c r="N37" s="181">
        <v>0</v>
      </c>
      <c r="O37" s="178" t="s">
        <v>13</v>
      </c>
      <c r="P37" s="181">
        <v>0</v>
      </c>
      <c r="Q37" s="178" t="s">
        <v>13</v>
      </c>
      <c r="R37" s="181">
        <v>0</v>
      </c>
      <c r="S37" s="31"/>
    </row>
    <row r="38" spans="1:19">
      <c r="A38" s="136"/>
      <c r="B38" s="179" t="s">
        <v>31</v>
      </c>
      <c r="C38" s="180"/>
      <c r="D38" s="181">
        <v>0</v>
      </c>
      <c r="E38" s="180"/>
      <c r="F38" s="181">
        <v>0</v>
      </c>
      <c r="G38" s="180"/>
      <c r="H38" s="181">
        <v>0</v>
      </c>
      <c r="I38" s="180"/>
      <c r="J38" s="181">
        <v>0</v>
      </c>
      <c r="K38" s="180"/>
      <c r="L38" s="181">
        <v>0</v>
      </c>
      <c r="M38" s="180"/>
      <c r="N38" s="181">
        <v>0</v>
      </c>
      <c r="O38" s="180"/>
      <c r="P38" s="181">
        <v>0</v>
      </c>
      <c r="Q38" s="180"/>
      <c r="R38" s="181">
        <v>0</v>
      </c>
      <c r="S38" s="31"/>
    </row>
    <row r="39" spans="1:19">
      <c r="A39" s="136"/>
      <c r="B39" s="179" t="s">
        <v>32</v>
      </c>
      <c r="C39" s="178" t="s">
        <v>13</v>
      </c>
      <c r="D39" s="182">
        <v>0</v>
      </c>
      <c r="E39" s="178" t="s">
        <v>13</v>
      </c>
      <c r="F39" s="182">
        <v>0</v>
      </c>
      <c r="G39" s="178" t="s">
        <v>13</v>
      </c>
      <c r="H39" s="182">
        <v>0</v>
      </c>
      <c r="I39" s="178" t="s">
        <v>13</v>
      </c>
      <c r="J39" s="182">
        <v>0</v>
      </c>
      <c r="K39" s="178" t="s">
        <v>13</v>
      </c>
      <c r="L39" s="182">
        <v>0</v>
      </c>
      <c r="M39" s="178" t="s">
        <v>13</v>
      </c>
      <c r="N39" s="182">
        <v>0</v>
      </c>
      <c r="O39" s="178" t="s">
        <v>13</v>
      </c>
      <c r="P39" s="182">
        <v>0</v>
      </c>
      <c r="Q39" s="178" t="s">
        <v>13</v>
      </c>
      <c r="R39" s="181">
        <v>0</v>
      </c>
      <c r="S39" s="31"/>
    </row>
    <row r="40" spans="1:19">
      <c r="A40" s="136"/>
      <c r="B40" s="141"/>
      <c r="C40" s="161"/>
      <c r="D40" s="162"/>
      <c r="E40" s="162"/>
      <c r="F40" s="162"/>
      <c r="G40" s="162"/>
      <c r="H40" s="162"/>
      <c r="I40" s="162"/>
      <c r="J40" s="162"/>
      <c r="K40" s="162"/>
      <c r="L40" s="162"/>
      <c r="M40" s="162"/>
      <c r="N40" s="162"/>
      <c r="O40" s="162"/>
      <c r="P40" s="162"/>
      <c r="Q40" s="162"/>
      <c r="R40" s="163"/>
      <c r="S40" s="140"/>
    </row>
    <row r="41" spans="1:19" s="166" customFormat="1">
      <c r="A41" s="135"/>
      <c r="B41" s="154" t="s">
        <v>214</v>
      </c>
      <c r="C41" s="164"/>
      <c r="D41" s="165">
        <f>SUM(D30:D40)</f>
        <v>100</v>
      </c>
      <c r="E41" s="164"/>
      <c r="F41" s="165">
        <f>SUM(F30:F40)</f>
        <v>75</v>
      </c>
      <c r="G41" s="164"/>
      <c r="H41" s="165">
        <f>SUM(H30:H40)</f>
        <v>0</v>
      </c>
      <c r="I41" s="164"/>
      <c r="J41" s="165">
        <f>SUM(J30:J40)</f>
        <v>0</v>
      </c>
      <c r="K41" s="164"/>
      <c r="L41" s="165">
        <f>SUM(L30:L40)</f>
        <v>0</v>
      </c>
      <c r="M41" s="164"/>
      <c r="N41" s="165">
        <f>SUM(N30:N40)</f>
        <v>0</v>
      </c>
      <c r="O41" s="164"/>
      <c r="P41" s="165">
        <f>SUM(P30:P40)</f>
        <v>0</v>
      </c>
      <c r="Q41" s="164"/>
      <c r="R41" s="157">
        <f>SUM(R30:R40)</f>
        <v>0</v>
      </c>
      <c r="S41" s="135"/>
    </row>
    <row r="42" spans="1:19">
      <c r="A42" s="136"/>
      <c r="B42" s="167" t="s">
        <v>215</v>
      </c>
      <c r="C42" s="168"/>
      <c r="D42" s="169"/>
      <c r="E42" s="168"/>
      <c r="F42" s="169"/>
      <c r="G42" s="168"/>
      <c r="H42" s="169"/>
      <c r="I42" s="168"/>
      <c r="J42" s="169"/>
      <c r="K42" s="168"/>
      <c r="L42" s="169"/>
      <c r="M42" s="168"/>
      <c r="N42" s="169"/>
      <c r="O42" s="168"/>
      <c r="P42" s="169"/>
      <c r="Q42" s="168"/>
      <c r="R42" s="169"/>
      <c r="S42" s="170"/>
    </row>
    <row r="43" spans="1:19">
      <c r="A43" s="136"/>
      <c r="B43" s="183" t="s">
        <v>32</v>
      </c>
      <c r="C43" s="178" t="s">
        <v>13</v>
      </c>
      <c r="D43" s="184">
        <v>300</v>
      </c>
      <c r="E43" s="178" t="s">
        <v>13</v>
      </c>
      <c r="F43" s="184">
        <v>0</v>
      </c>
      <c r="G43" s="178" t="s">
        <v>13</v>
      </c>
      <c r="H43" s="184">
        <v>0</v>
      </c>
      <c r="I43" s="178" t="s">
        <v>13</v>
      </c>
      <c r="J43" s="184">
        <v>0</v>
      </c>
      <c r="K43" s="178" t="s">
        <v>13</v>
      </c>
      <c r="L43" s="184">
        <v>0</v>
      </c>
      <c r="M43" s="178" t="s">
        <v>13</v>
      </c>
      <c r="N43" s="184">
        <v>0</v>
      </c>
      <c r="O43" s="178" t="s">
        <v>13</v>
      </c>
      <c r="P43" s="184">
        <v>0</v>
      </c>
      <c r="Q43" s="178" t="s">
        <v>13</v>
      </c>
      <c r="R43" s="184">
        <v>0</v>
      </c>
      <c r="S43" s="185"/>
    </row>
    <row r="44" spans="1:19">
      <c r="A44" s="136"/>
      <c r="B44" s="183" t="s">
        <v>32</v>
      </c>
      <c r="C44" s="178" t="s">
        <v>13</v>
      </c>
      <c r="D44" s="184">
        <v>0</v>
      </c>
      <c r="E44" s="178" t="s">
        <v>13</v>
      </c>
      <c r="F44" s="184">
        <v>0</v>
      </c>
      <c r="G44" s="178" t="s">
        <v>13</v>
      </c>
      <c r="H44" s="184">
        <v>0</v>
      </c>
      <c r="I44" s="178" t="s">
        <v>13</v>
      </c>
      <c r="J44" s="184">
        <v>0</v>
      </c>
      <c r="K44" s="178" t="s">
        <v>13</v>
      </c>
      <c r="L44" s="184">
        <v>0</v>
      </c>
      <c r="M44" s="178" t="s">
        <v>13</v>
      </c>
      <c r="N44" s="184">
        <v>0</v>
      </c>
      <c r="O44" s="178" t="s">
        <v>13</v>
      </c>
      <c r="P44" s="184">
        <v>0</v>
      </c>
      <c r="Q44" s="178" t="s">
        <v>13</v>
      </c>
      <c r="R44" s="184">
        <v>0</v>
      </c>
      <c r="S44" s="185"/>
    </row>
    <row r="45" spans="1:19">
      <c r="A45" s="136"/>
      <c r="B45" s="183" t="s">
        <v>32</v>
      </c>
      <c r="C45" s="178" t="s">
        <v>13</v>
      </c>
      <c r="D45" s="184">
        <v>0</v>
      </c>
      <c r="E45" s="178" t="s">
        <v>13</v>
      </c>
      <c r="F45" s="184"/>
      <c r="G45" s="178" t="s">
        <v>13</v>
      </c>
      <c r="H45" s="184"/>
      <c r="I45" s="178" t="s">
        <v>13</v>
      </c>
      <c r="J45" s="184"/>
      <c r="K45" s="178" t="s">
        <v>13</v>
      </c>
      <c r="L45" s="184"/>
      <c r="M45" s="178" t="s">
        <v>13</v>
      </c>
      <c r="N45" s="184"/>
      <c r="O45" s="178" t="s">
        <v>13</v>
      </c>
      <c r="P45" s="184"/>
      <c r="Q45" s="178" t="s">
        <v>13</v>
      </c>
      <c r="R45" s="184"/>
      <c r="S45" s="185"/>
    </row>
    <row r="46" spans="1:19">
      <c r="A46" s="136"/>
      <c r="B46" s="183" t="s">
        <v>32</v>
      </c>
      <c r="C46" s="178" t="s">
        <v>13</v>
      </c>
      <c r="D46" s="184">
        <v>0</v>
      </c>
      <c r="E46" s="178" t="s">
        <v>13</v>
      </c>
      <c r="F46" s="184">
        <v>0</v>
      </c>
      <c r="G46" s="178" t="s">
        <v>13</v>
      </c>
      <c r="H46" s="184">
        <v>0</v>
      </c>
      <c r="I46" s="178" t="s">
        <v>13</v>
      </c>
      <c r="J46" s="184">
        <v>0</v>
      </c>
      <c r="K46" s="178" t="s">
        <v>13</v>
      </c>
      <c r="L46" s="184">
        <v>0</v>
      </c>
      <c r="M46" s="178" t="s">
        <v>13</v>
      </c>
      <c r="N46" s="184">
        <v>0</v>
      </c>
      <c r="O46" s="178" t="s">
        <v>13</v>
      </c>
      <c r="P46" s="184">
        <v>0</v>
      </c>
      <c r="Q46" s="178" t="s">
        <v>13</v>
      </c>
      <c r="R46" s="184">
        <v>0</v>
      </c>
      <c r="S46" s="185"/>
    </row>
    <row r="47" spans="1:19">
      <c r="A47" s="136"/>
      <c r="B47" s="171"/>
      <c r="C47" s="147"/>
      <c r="D47" s="169"/>
      <c r="E47" s="147"/>
      <c r="F47" s="169"/>
      <c r="G47" s="147"/>
      <c r="H47" s="169"/>
      <c r="I47" s="147"/>
      <c r="J47" s="169"/>
      <c r="K47" s="147"/>
      <c r="L47" s="169"/>
      <c r="M47" s="147"/>
      <c r="N47" s="169"/>
      <c r="O47" s="147"/>
      <c r="P47" s="169"/>
      <c r="Q47" s="147"/>
      <c r="R47" s="169"/>
      <c r="S47" s="170"/>
    </row>
    <row r="48" spans="1:19">
      <c r="A48" s="136"/>
      <c r="B48" s="167" t="s">
        <v>216</v>
      </c>
      <c r="C48" s="168"/>
      <c r="D48" s="169"/>
      <c r="E48" s="168"/>
      <c r="F48" s="169"/>
      <c r="G48" s="168"/>
      <c r="H48" s="169"/>
      <c r="I48" s="168"/>
      <c r="J48" s="169"/>
      <c r="K48" s="168"/>
      <c r="L48" s="169"/>
      <c r="M48" s="168"/>
      <c r="N48" s="169"/>
      <c r="O48" s="168"/>
      <c r="P48" s="169"/>
      <c r="Q48" s="168"/>
      <c r="R48" s="169"/>
      <c r="S48" s="170"/>
    </row>
    <row r="49" spans="1:19">
      <c r="A49" s="136"/>
      <c r="B49" s="167" t="s">
        <v>217</v>
      </c>
      <c r="C49" s="168"/>
      <c r="D49" s="169"/>
      <c r="E49" s="168"/>
      <c r="F49" s="169"/>
      <c r="G49" s="168"/>
      <c r="H49" s="169"/>
      <c r="I49" s="168"/>
      <c r="J49" s="169"/>
      <c r="K49" s="168"/>
      <c r="L49" s="169"/>
      <c r="M49" s="168"/>
      <c r="N49" s="169"/>
      <c r="O49" s="168"/>
      <c r="P49" s="169"/>
      <c r="Q49" s="168"/>
      <c r="R49" s="169"/>
      <c r="S49" s="170"/>
    </row>
    <row r="50" spans="1:19">
      <c r="A50" s="136"/>
      <c r="B50" s="183" t="s">
        <v>32</v>
      </c>
      <c r="C50" s="178" t="s">
        <v>13</v>
      </c>
      <c r="D50" s="184">
        <v>75</v>
      </c>
      <c r="E50" s="178" t="s">
        <v>13</v>
      </c>
      <c r="F50" s="184">
        <v>0</v>
      </c>
      <c r="G50" s="178" t="s">
        <v>13</v>
      </c>
      <c r="H50" s="184">
        <v>0</v>
      </c>
      <c r="I50" s="178" t="s">
        <v>13</v>
      </c>
      <c r="J50" s="184">
        <v>0</v>
      </c>
      <c r="K50" s="178" t="s">
        <v>13</v>
      </c>
      <c r="L50" s="184">
        <v>0</v>
      </c>
      <c r="M50" s="178" t="s">
        <v>13</v>
      </c>
      <c r="N50" s="184">
        <v>0</v>
      </c>
      <c r="O50" s="178" t="s">
        <v>13</v>
      </c>
      <c r="P50" s="184">
        <v>0</v>
      </c>
      <c r="Q50" s="178" t="s">
        <v>13</v>
      </c>
      <c r="R50" s="184">
        <v>0</v>
      </c>
      <c r="S50" s="185"/>
    </row>
    <row r="51" spans="1:19">
      <c r="A51" s="136"/>
      <c r="B51" s="183" t="s">
        <v>32</v>
      </c>
      <c r="C51" s="178" t="s">
        <v>13</v>
      </c>
      <c r="D51" s="184">
        <v>0</v>
      </c>
      <c r="E51" s="178" t="s">
        <v>13</v>
      </c>
      <c r="F51" s="184">
        <v>0</v>
      </c>
      <c r="G51" s="178" t="s">
        <v>13</v>
      </c>
      <c r="H51" s="184">
        <v>0</v>
      </c>
      <c r="I51" s="178" t="s">
        <v>13</v>
      </c>
      <c r="J51" s="184">
        <v>0</v>
      </c>
      <c r="K51" s="178" t="s">
        <v>13</v>
      </c>
      <c r="L51" s="184">
        <v>0</v>
      </c>
      <c r="M51" s="178" t="s">
        <v>13</v>
      </c>
      <c r="N51" s="184">
        <v>0</v>
      </c>
      <c r="O51" s="178" t="s">
        <v>13</v>
      </c>
      <c r="P51" s="184">
        <v>0</v>
      </c>
      <c r="Q51" s="178" t="s">
        <v>13</v>
      </c>
      <c r="R51" s="184">
        <v>0</v>
      </c>
      <c r="S51" s="185"/>
    </row>
    <row r="52" spans="1:19">
      <c r="A52" s="136"/>
      <c r="B52" s="183" t="s">
        <v>32</v>
      </c>
      <c r="C52" s="178" t="s">
        <v>13</v>
      </c>
      <c r="D52" s="184">
        <v>0</v>
      </c>
      <c r="E52" s="178" t="s">
        <v>13</v>
      </c>
      <c r="F52" s="184">
        <v>0</v>
      </c>
      <c r="G52" s="178" t="s">
        <v>13</v>
      </c>
      <c r="H52" s="184">
        <v>0</v>
      </c>
      <c r="I52" s="178" t="s">
        <v>13</v>
      </c>
      <c r="J52" s="184">
        <v>0</v>
      </c>
      <c r="K52" s="178" t="s">
        <v>13</v>
      </c>
      <c r="L52" s="184">
        <v>0</v>
      </c>
      <c r="M52" s="178" t="s">
        <v>13</v>
      </c>
      <c r="N52" s="184">
        <v>0</v>
      </c>
      <c r="O52" s="178" t="s">
        <v>13</v>
      </c>
      <c r="P52" s="184">
        <v>0</v>
      </c>
      <c r="Q52" s="178" t="s">
        <v>13</v>
      </c>
      <c r="R52" s="184">
        <v>0</v>
      </c>
      <c r="S52" s="185"/>
    </row>
    <row r="53" spans="1:19">
      <c r="A53" s="136"/>
      <c r="B53" s="183" t="s">
        <v>32</v>
      </c>
      <c r="C53" s="178" t="s">
        <v>13</v>
      </c>
      <c r="D53" s="184">
        <v>0</v>
      </c>
      <c r="E53" s="178" t="s">
        <v>13</v>
      </c>
      <c r="F53" s="184">
        <v>0</v>
      </c>
      <c r="G53" s="178" t="s">
        <v>13</v>
      </c>
      <c r="H53" s="184">
        <v>0</v>
      </c>
      <c r="I53" s="178" t="s">
        <v>13</v>
      </c>
      <c r="J53" s="184">
        <v>0</v>
      </c>
      <c r="K53" s="178" t="s">
        <v>13</v>
      </c>
      <c r="L53" s="184">
        <v>0</v>
      </c>
      <c r="M53" s="178" t="s">
        <v>13</v>
      </c>
      <c r="N53" s="184">
        <v>0</v>
      </c>
      <c r="O53" s="178" t="s">
        <v>13</v>
      </c>
      <c r="P53" s="184">
        <v>0</v>
      </c>
      <c r="Q53" s="178" t="s">
        <v>13</v>
      </c>
      <c r="R53" s="184">
        <v>0</v>
      </c>
      <c r="S53" s="185"/>
    </row>
    <row r="54" spans="1:19">
      <c r="A54" s="136"/>
      <c r="B54" s="183" t="s">
        <v>32</v>
      </c>
      <c r="C54" s="178" t="s">
        <v>13</v>
      </c>
      <c r="D54" s="184">
        <v>0</v>
      </c>
      <c r="E54" s="178" t="s">
        <v>13</v>
      </c>
      <c r="F54" s="184">
        <v>0</v>
      </c>
      <c r="G54" s="178" t="s">
        <v>13</v>
      </c>
      <c r="H54" s="184">
        <v>0</v>
      </c>
      <c r="I54" s="178" t="s">
        <v>13</v>
      </c>
      <c r="J54" s="184">
        <v>0</v>
      </c>
      <c r="K54" s="178" t="s">
        <v>13</v>
      </c>
      <c r="L54" s="184">
        <v>0</v>
      </c>
      <c r="M54" s="178" t="s">
        <v>13</v>
      </c>
      <c r="N54" s="184">
        <v>0</v>
      </c>
      <c r="O54" s="178" t="s">
        <v>13</v>
      </c>
      <c r="P54" s="184">
        <v>0</v>
      </c>
      <c r="Q54" s="178" t="s">
        <v>13</v>
      </c>
      <c r="R54" s="184">
        <v>0</v>
      </c>
      <c r="S54" s="185"/>
    </row>
    <row r="55" spans="1:19">
      <c r="A55" s="136"/>
      <c r="B55" s="171"/>
      <c r="C55" s="147"/>
      <c r="D55" s="169"/>
      <c r="E55" s="147"/>
      <c r="F55" s="169"/>
      <c r="G55" s="147"/>
      <c r="H55" s="169"/>
      <c r="I55" s="147"/>
      <c r="J55" s="169"/>
      <c r="K55" s="147"/>
      <c r="L55" s="169"/>
      <c r="M55" s="147"/>
      <c r="N55" s="169"/>
      <c r="O55" s="147"/>
      <c r="P55" s="169"/>
      <c r="Q55" s="147"/>
      <c r="R55" s="169"/>
      <c r="S55" s="170"/>
    </row>
    <row r="56" spans="1:19">
      <c r="A56" s="136"/>
      <c r="B56" s="167" t="s">
        <v>218</v>
      </c>
      <c r="C56" s="168"/>
      <c r="D56" s="169"/>
      <c r="E56" s="168"/>
      <c r="F56" s="169"/>
      <c r="G56" s="168"/>
      <c r="H56" s="169"/>
      <c r="I56" s="168"/>
      <c r="J56" s="169"/>
      <c r="K56" s="168"/>
      <c r="L56" s="169"/>
      <c r="M56" s="168"/>
      <c r="N56" s="169"/>
      <c r="O56" s="168"/>
      <c r="P56" s="169"/>
      <c r="Q56" s="168"/>
      <c r="R56" s="169"/>
      <c r="S56" s="170"/>
    </row>
    <row r="57" spans="1:19">
      <c r="A57" s="136"/>
      <c r="B57" s="183" t="s">
        <v>31</v>
      </c>
      <c r="C57" s="186"/>
      <c r="D57" s="184">
        <v>80</v>
      </c>
      <c r="E57" s="186"/>
      <c r="F57" s="184">
        <v>0</v>
      </c>
      <c r="G57" s="186"/>
      <c r="H57" s="184">
        <v>0</v>
      </c>
      <c r="I57" s="186"/>
      <c r="J57" s="184">
        <v>0</v>
      </c>
      <c r="K57" s="186"/>
      <c r="L57" s="184">
        <v>0</v>
      </c>
      <c r="M57" s="186"/>
      <c r="N57" s="184">
        <v>0</v>
      </c>
      <c r="O57" s="186"/>
      <c r="P57" s="184">
        <v>0</v>
      </c>
      <c r="Q57" s="186"/>
      <c r="R57" s="184">
        <v>0</v>
      </c>
      <c r="S57" s="185"/>
    </row>
    <row r="58" spans="1:19">
      <c r="A58" s="136"/>
      <c r="B58" s="183" t="s">
        <v>32</v>
      </c>
      <c r="C58" s="178" t="s">
        <v>13</v>
      </c>
      <c r="D58" s="184">
        <v>0</v>
      </c>
      <c r="E58" s="178" t="s">
        <v>13</v>
      </c>
      <c r="F58" s="184">
        <v>0</v>
      </c>
      <c r="G58" s="178" t="s">
        <v>13</v>
      </c>
      <c r="H58" s="184">
        <v>0</v>
      </c>
      <c r="I58" s="178" t="s">
        <v>13</v>
      </c>
      <c r="J58" s="184">
        <v>0</v>
      </c>
      <c r="K58" s="178" t="s">
        <v>13</v>
      </c>
      <c r="L58" s="184">
        <v>0</v>
      </c>
      <c r="M58" s="178" t="s">
        <v>13</v>
      </c>
      <c r="N58" s="184">
        <v>0</v>
      </c>
      <c r="O58" s="178" t="s">
        <v>13</v>
      </c>
      <c r="P58" s="184">
        <v>0</v>
      </c>
      <c r="Q58" s="178" t="s">
        <v>13</v>
      </c>
      <c r="R58" s="184">
        <v>0</v>
      </c>
      <c r="S58" s="185"/>
    </row>
    <row r="59" spans="1:19">
      <c r="A59" s="136"/>
      <c r="B59" s="183" t="s">
        <v>31</v>
      </c>
      <c r="C59" s="186"/>
      <c r="D59" s="184">
        <v>0</v>
      </c>
      <c r="E59" s="186"/>
      <c r="F59" s="184">
        <v>0</v>
      </c>
      <c r="G59" s="186"/>
      <c r="H59" s="184">
        <v>0</v>
      </c>
      <c r="I59" s="186"/>
      <c r="J59" s="184">
        <v>0</v>
      </c>
      <c r="K59" s="186"/>
      <c r="L59" s="184">
        <v>0</v>
      </c>
      <c r="M59" s="186"/>
      <c r="N59" s="184">
        <v>0</v>
      </c>
      <c r="O59" s="186"/>
      <c r="P59" s="184">
        <v>0</v>
      </c>
      <c r="Q59" s="186"/>
      <c r="R59" s="184">
        <v>0</v>
      </c>
      <c r="S59" s="185"/>
    </row>
    <row r="60" spans="1:19">
      <c r="A60" s="136"/>
      <c r="B60" s="183" t="s">
        <v>32</v>
      </c>
      <c r="C60" s="178" t="s">
        <v>13</v>
      </c>
      <c r="D60" s="184">
        <v>0</v>
      </c>
      <c r="E60" s="178" t="s">
        <v>13</v>
      </c>
      <c r="F60" s="184">
        <v>0</v>
      </c>
      <c r="G60" s="178" t="s">
        <v>13</v>
      </c>
      <c r="H60" s="184">
        <v>0</v>
      </c>
      <c r="I60" s="178" t="s">
        <v>13</v>
      </c>
      <c r="J60" s="184">
        <v>0</v>
      </c>
      <c r="K60" s="178" t="s">
        <v>13</v>
      </c>
      <c r="L60" s="184">
        <v>0</v>
      </c>
      <c r="M60" s="178" t="s">
        <v>13</v>
      </c>
      <c r="N60" s="184">
        <v>0</v>
      </c>
      <c r="O60" s="178" t="s">
        <v>13</v>
      </c>
      <c r="P60" s="184">
        <v>0</v>
      </c>
      <c r="Q60" s="178" t="s">
        <v>13</v>
      </c>
      <c r="R60" s="184">
        <v>0</v>
      </c>
      <c r="S60" s="185"/>
    </row>
    <row r="61" spans="1:19">
      <c r="A61" s="136"/>
      <c r="B61" s="183" t="s">
        <v>31</v>
      </c>
      <c r="C61" s="186"/>
      <c r="D61" s="184">
        <v>0</v>
      </c>
      <c r="E61" s="186"/>
      <c r="F61" s="184">
        <v>0</v>
      </c>
      <c r="G61" s="186"/>
      <c r="H61" s="184">
        <v>0</v>
      </c>
      <c r="I61" s="186"/>
      <c r="J61" s="184">
        <v>0</v>
      </c>
      <c r="K61" s="186"/>
      <c r="L61" s="184">
        <v>0</v>
      </c>
      <c r="M61" s="186"/>
      <c r="N61" s="184">
        <v>0</v>
      </c>
      <c r="O61" s="186"/>
      <c r="P61" s="184">
        <v>0</v>
      </c>
      <c r="Q61" s="186"/>
      <c r="R61" s="184">
        <v>0</v>
      </c>
      <c r="S61" s="185"/>
    </row>
    <row r="62" spans="1:19">
      <c r="A62" s="136"/>
      <c r="B62" s="183" t="s">
        <v>32</v>
      </c>
      <c r="C62" s="178" t="s">
        <v>13</v>
      </c>
      <c r="D62" s="184">
        <v>0</v>
      </c>
      <c r="E62" s="178" t="s">
        <v>13</v>
      </c>
      <c r="F62" s="184">
        <v>0</v>
      </c>
      <c r="G62" s="178" t="s">
        <v>13</v>
      </c>
      <c r="H62" s="184">
        <v>0</v>
      </c>
      <c r="I62" s="178" t="s">
        <v>13</v>
      </c>
      <c r="J62" s="184">
        <v>0</v>
      </c>
      <c r="K62" s="178" t="s">
        <v>13</v>
      </c>
      <c r="L62" s="184">
        <v>0</v>
      </c>
      <c r="M62" s="178" t="s">
        <v>13</v>
      </c>
      <c r="N62" s="184">
        <v>0</v>
      </c>
      <c r="O62" s="178" t="s">
        <v>13</v>
      </c>
      <c r="P62" s="184">
        <v>0</v>
      </c>
      <c r="Q62" s="178" t="s">
        <v>13</v>
      </c>
      <c r="R62" s="184">
        <v>0</v>
      </c>
      <c r="S62" s="185"/>
    </row>
    <row r="63" spans="1:19">
      <c r="A63" s="136"/>
      <c r="B63" s="183" t="s">
        <v>31</v>
      </c>
      <c r="C63" s="186"/>
      <c r="D63" s="184">
        <v>0</v>
      </c>
      <c r="E63" s="186"/>
      <c r="F63" s="184">
        <v>0</v>
      </c>
      <c r="G63" s="186"/>
      <c r="H63" s="184">
        <v>0</v>
      </c>
      <c r="I63" s="186"/>
      <c r="J63" s="184">
        <v>0</v>
      </c>
      <c r="K63" s="186"/>
      <c r="L63" s="184">
        <v>0</v>
      </c>
      <c r="M63" s="186"/>
      <c r="N63" s="184">
        <v>0</v>
      </c>
      <c r="O63" s="186"/>
      <c r="P63" s="184">
        <v>0</v>
      </c>
      <c r="Q63" s="186"/>
      <c r="R63" s="184">
        <v>0</v>
      </c>
      <c r="S63" s="185"/>
    </row>
    <row r="64" spans="1:19">
      <c r="A64" s="136"/>
      <c r="B64" s="183" t="s">
        <v>32</v>
      </c>
      <c r="C64" s="178" t="s">
        <v>13</v>
      </c>
      <c r="D64" s="184">
        <v>0</v>
      </c>
      <c r="E64" s="178" t="s">
        <v>13</v>
      </c>
      <c r="F64" s="184">
        <v>0</v>
      </c>
      <c r="G64" s="178" t="s">
        <v>13</v>
      </c>
      <c r="H64" s="184">
        <v>0</v>
      </c>
      <c r="I64" s="178" t="s">
        <v>13</v>
      </c>
      <c r="J64" s="184">
        <v>0</v>
      </c>
      <c r="K64" s="178" t="s">
        <v>13</v>
      </c>
      <c r="L64" s="184">
        <v>0</v>
      </c>
      <c r="M64" s="178" t="s">
        <v>13</v>
      </c>
      <c r="N64" s="184">
        <v>0</v>
      </c>
      <c r="O64" s="178" t="s">
        <v>13</v>
      </c>
      <c r="P64" s="184">
        <v>0</v>
      </c>
      <c r="Q64" s="178" t="s">
        <v>13</v>
      </c>
      <c r="R64" s="184">
        <v>0</v>
      </c>
      <c r="S64" s="185"/>
    </row>
    <row r="65" spans="1:19">
      <c r="A65" s="136"/>
      <c r="B65" s="171"/>
      <c r="C65" s="147"/>
      <c r="D65" s="169"/>
      <c r="E65" s="147"/>
      <c r="F65" s="169"/>
      <c r="G65" s="147"/>
      <c r="H65" s="169"/>
      <c r="I65" s="147"/>
      <c r="J65" s="169"/>
      <c r="K65" s="147"/>
      <c r="L65" s="169"/>
      <c r="M65" s="147"/>
      <c r="N65" s="169"/>
      <c r="O65" s="147"/>
      <c r="P65" s="169"/>
      <c r="Q65" s="147"/>
      <c r="R65" s="169"/>
      <c r="S65" s="170"/>
    </row>
    <row r="66" spans="1:19" s="166" customFormat="1">
      <c r="B66" s="154" t="s">
        <v>219</v>
      </c>
      <c r="C66" s="155"/>
      <c r="D66" s="157">
        <f>SUM(D43:D65)</f>
        <v>455</v>
      </c>
      <c r="E66" s="155"/>
      <c r="F66" s="157">
        <f>SUM(F43:F65)</f>
        <v>0</v>
      </c>
      <c r="G66" s="155"/>
      <c r="H66" s="157">
        <f>SUM(H43:H65)</f>
        <v>0</v>
      </c>
      <c r="I66" s="155"/>
      <c r="J66" s="157">
        <f>SUM(J43:J65)</f>
        <v>0</v>
      </c>
      <c r="K66" s="155"/>
      <c r="L66" s="157">
        <f>SUM(L43:L65)</f>
        <v>0</v>
      </c>
      <c r="M66" s="155"/>
      <c r="N66" s="157">
        <f>SUM(N43:N65)</f>
        <v>0</v>
      </c>
      <c r="O66" s="155"/>
      <c r="P66" s="157">
        <f>SUM(P43:P65)</f>
        <v>0</v>
      </c>
      <c r="Q66" s="155"/>
      <c r="R66" s="157">
        <f>SUM(R43:R65)</f>
        <v>0</v>
      </c>
      <c r="S66" s="135"/>
    </row>
    <row r="67" spans="1:19">
      <c r="B67" s="143" t="s">
        <v>220</v>
      </c>
      <c r="C67" s="172"/>
      <c r="D67" s="173">
        <f>D28+D41+D66</f>
        <v>610</v>
      </c>
      <c r="E67" s="172"/>
      <c r="F67" s="173">
        <f>F28+F41+F66</f>
        <v>75</v>
      </c>
      <c r="G67" s="172"/>
      <c r="H67" s="173">
        <f>H28+H41+H66</f>
        <v>0</v>
      </c>
      <c r="I67" s="172"/>
      <c r="J67" s="173">
        <f>J28+J41+J66</f>
        <v>0</v>
      </c>
      <c r="K67" s="172"/>
      <c r="L67" s="173">
        <f>L28+L41+L66</f>
        <v>0</v>
      </c>
      <c r="M67" s="172"/>
      <c r="N67" s="173">
        <f>N28+N41+N66</f>
        <v>0</v>
      </c>
      <c r="O67" s="172"/>
      <c r="P67" s="173">
        <f>P28+P41+P66</f>
        <v>0</v>
      </c>
      <c r="Q67" s="172"/>
      <c r="R67" s="173">
        <f>R28+R41+R66</f>
        <v>0</v>
      </c>
      <c r="S67" s="174"/>
    </row>
  </sheetData>
  <sheetProtection algorithmName="SHA-512" hashValue="8Co+0NuoYnJ/VoR/0NHv/ZXxRk77M7CmTEC8tJ7XZqmlv043YzYaFc8Eu4n7oJr8Px6ScuQyE1WQnJ/t+GoSNw==" saltValue="pF4TebUvFf8WilJjqwTHRA==" spinCount="100000" sheet="1" selectLockedCells="1" sort="0" autoFilter="0"/>
  <protectedRanges>
    <protectedRange sqref="S1:S2 A10:A26 C65 S4:S5 H30:H39 E65 J30:J39 G65 L30:L39 I65 N30:N39 K65 P30:P39 M65 O65 R30:S39 Q65 B47:S47 F30:F39 D32:D39 R9:S27 P9:P27 N9:N27 L9:L27 J9:J27 H9:H27 F9:F27 B27:C27 D18:D27 R57:S65 P57:P65 N57:N65 L57:L65 J57:J65 H57:H65 F57:F65 D57:D65 B40:S40 D43:D46 D50:D54 E27 G27 I27 K27 M27 O27 Q27 F43:F46 H43:H46 J43:J46 L43:L46 N43:N46 P43:P46 R43:S46 F50:F54 H50:H54 J50:J54 L50:L54 N50:N54 P50:P54 R50:S54 B55:S55 B9 C4:R4 B11 B13 B15 B17 B19 B21 B23 B25 B30:B39 B43:B46 B50:B54 B57:B65" name="Range1"/>
    <protectedRange sqref="B10 B12 B14 B16 B18 B20 B22 B24 B26" name="Range1_2"/>
    <protectedRange sqref="C10 E10 G10 I10 K10 M10 O10 Q10" name="Range1_1"/>
    <protectedRange sqref="C12 E12 G12 I12 K12 M12 O12 Q12" name="Range1_3"/>
    <protectedRange sqref="C14 E14 G14 I14 K14 M14 O14 Q14" name="Range1_4"/>
    <protectedRange sqref="C16 E16 G16 I16 K16 M16 O16 Q16" name="Range1_5"/>
    <protectedRange sqref="C18 E18 G18 I18 K18 M18 O18 Q18" name="Range1_6"/>
    <protectedRange sqref="C20 E20 G20 I20 K20 M20 O20 Q20" name="Range1_7"/>
    <protectedRange sqref="C22 E22 G22 I22 K22 M22 O22 Q22" name="Range1_8"/>
    <protectedRange sqref="C24 E24 G24 I24 K24 M24 O24 Q24" name="Range1_9"/>
    <protectedRange sqref="C26 E26 G26 I26 K26 M26 O26 Q26" name="Range1_10"/>
    <protectedRange sqref="C31 E31 G31 I31 K31 M31 O31 Q31" name="Range1_11"/>
    <protectedRange sqref="C33 E33 G33 I33 K33 M33 O33 Q33" name="Range1_12"/>
    <protectedRange sqref="C35 E35 G35 I35 K35 M35 O35 Q35" name="Range1_13"/>
    <protectedRange sqref="C37 E37 G37 I37 K37 M37 O37 Q37" name="Range1_14"/>
    <protectedRange sqref="C39 E39 G39 I39 K39 M39 O39 Q39" name="Range1_15"/>
    <protectedRange sqref="C43:C46 E43:E46 G43:G46 I43:I46 K43:K46 M43:M46 O43:O46 Q43:Q46" name="Range1_16"/>
    <protectedRange sqref="C50:C54 E50:E54 G50:G54 I50:I54 K50:K54 M50:M54 O50:O54 Q50:Q54" name="Range1_17"/>
    <protectedRange sqref="C58 E58 G58 I58 K58 M58 O58 Q58" name="Range1_18"/>
    <protectedRange sqref="C60 E60 G60 I60 K60 M60 O60 Q60" name="Range1_19"/>
    <protectedRange sqref="C62 E62 G62 I62 K62 M62 O62 Q62" name="Range1_20"/>
    <protectedRange sqref="C64 E64 G64 I64 K64 M64 O64 Q64" name="Range1_21"/>
    <protectedRange sqref="D9:D17" name="Range1_22"/>
    <protectedRange sqref="D30:D31" name="Range1_23"/>
  </protectedRanges>
  <mergeCells count="8">
    <mergeCell ref="M2:N2"/>
    <mergeCell ref="O2:P2"/>
    <mergeCell ref="Q2:R2"/>
    <mergeCell ref="C2:D2"/>
    <mergeCell ref="E2:F2"/>
    <mergeCell ref="G2:H2"/>
    <mergeCell ref="I2:J2"/>
    <mergeCell ref="K2:L2"/>
  </mergeCells>
  <conditionalFormatting sqref="A10:C26">
    <cfRule type="cellIs" dxfId="298" priority="1" operator="equal">
      <formula>"--Select activity--"</formula>
    </cfRule>
    <cfRule type="cellIs" dxfId="297" priority="2" operator="equal">
      <formula>"--Select input--"</formula>
    </cfRule>
    <cfRule type="cellIs" dxfId="296" priority="3" operator="equal">
      <formula>"--Select--"</formula>
    </cfRule>
  </conditionalFormatting>
  <conditionalFormatting sqref="B55">
    <cfRule type="containsBlanks" dxfId="295" priority="1236">
      <formula>LEN(TRIM(B55))=0</formula>
    </cfRule>
  </conditionalFormatting>
  <conditionalFormatting sqref="B1:C1 B2 B4:C4 B5 B28:B29 B41 B42:C42 B43:B46">
    <cfRule type="cellIs" dxfId="294" priority="1242" operator="equal">
      <formula>"--Select activity--"</formula>
    </cfRule>
    <cfRule type="cellIs" dxfId="293" priority="1241" operator="equal">
      <formula>"--Select input--"</formula>
    </cfRule>
    <cfRule type="cellIs" dxfId="292" priority="1240" operator="equal">
      <formula>"--Select--"</formula>
    </cfRule>
  </conditionalFormatting>
  <conditionalFormatting sqref="B6:C9">
    <cfRule type="cellIs" dxfId="291" priority="49" operator="equal">
      <formula>"--Select activity--"</formula>
    </cfRule>
    <cfRule type="cellIs" dxfId="290" priority="50" operator="equal">
      <formula>"--Select input--"</formula>
    </cfRule>
    <cfRule type="cellIs" dxfId="289" priority="51" operator="equal">
      <formula>"--Select--"</formula>
    </cfRule>
  </conditionalFormatting>
  <conditionalFormatting sqref="B27:C27 B40:R40">
    <cfRule type="cellIs" dxfId="288" priority="1174" operator="equal">
      <formula>"--Select activity--"</formula>
    </cfRule>
    <cfRule type="cellIs" dxfId="287" priority="1173" operator="equal">
      <formula>"--Select input--"</formula>
    </cfRule>
    <cfRule type="cellIs" dxfId="286" priority="1172" operator="equal">
      <formula>"--Select--"</formula>
    </cfRule>
  </conditionalFormatting>
  <conditionalFormatting sqref="B30:C39">
    <cfRule type="cellIs" dxfId="285" priority="1076" operator="equal">
      <formula>"--Select--"</formula>
    </cfRule>
    <cfRule type="cellIs" dxfId="284" priority="1075" operator="equal">
      <formula>"--Select input--"</formula>
    </cfRule>
    <cfRule type="cellIs" dxfId="283" priority="1074" operator="equal">
      <formula>"--Select activity--"</formula>
    </cfRule>
  </conditionalFormatting>
  <conditionalFormatting sqref="B48:C67">
    <cfRule type="cellIs" dxfId="282" priority="1033" operator="equal">
      <formula>"--Select input--"</formula>
    </cfRule>
    <cfRule type="cellIs" dxfId="281" priority="1032" operator="equal">
      <formula>"--Select activity--"</formula>
    </cfRule>
    <cfRule type="cellIs" dxfId="280" priority="1034" operator="equal">
      <formula>"--Select--"</formula>
    </cfRule>
  </conditionalFormatting>
  <conditionalFormatting sqref="C10">
    <cfRule type="cellIs" dxfId="279" priority="1171" operator="equal">
      <formula>100</formula>
    </cfRule>
  </conditionalFormatting>
  <conditionalFormatting sqref="C12">
    <cfRule type="cellIs" dxfId="278" priority="1164" operator="equal">
      <formula>100</formula>
    </cfRule>
  </conditionalFormatting>
  <conditionalFormatting sqref="C14">
    <cfRule type="cellIs" dxfId="277" priority="1157" operator="equal">
      <formula>100</formula>
    </cfRule>
  </conditionalFormatting>
  <conditionalFormatting sqref="C16">
    <cfRule type="cellIs" dxfId="276" priority="1150" operator="equal">
      <formula>100</formula>
    </cfRule>
  </conditionalFormatting>
  <conditionalFormatting sqref="C18">
    <cfRule type="cellIs" dxfId="275" priority="1143" operator="equal">
      <formula>100</formula>
    </cfRule>
  </conditionalFormatting>
  <conditionalFormatting sqref="C20">
    <cfRule type="cellIs" dxfId="274" priority="1136" operator="equal">
      <formula>100</formula>
    </cfRule>
  </conditionalFormatting>
  <conditionalFormatting sqref="C22">
    <cfRule type="cellIs" dxfId="273" priority="1129" operator="equal">
      <formula>100</formula>
    </cfRule>
  </conditionalFormatting>
  <conditionalFormatting sqref="C24">
    <cfRule type="cellIs" dxfId="272" priority="1122" operator="equal">
      <formula>100</formula>
    </cfRule>
  </conditionalFormatting>
  <conditionalFormatting sqref="C26">
    <cfRule type="cellIs" dxfId="271" priority="1115" operator="equal">
      <formula>100</formula>
    </cfRule>
  </conditionalFormatting>
  <conditionalFormatting sqref="C31">
    <cfRule type="cellIs" dxfId="270" priority="1108" operator="equal">
      <formula>100</formula>
    </cfRule>
  </conditionalFormatting>
  <conditionalFormatting sqref="C33">
    <cfRule type="cellIs" dxfId="269" priority="1101" operator="equal">
      <formula>100</formula>
    </cfRule>
  </conditionalFormatting>
  <conditionalFormatting sqref="C35">
    <cfRule type="cellIs" dxfId="268" priority="1094" operator="equal">
      <formula>100</formula>
    </cfRule>
  </conditionalFormatting>
  <conditionalFormatting sqref="C37">
    <cfRule type="cellIs" dxfId="267" priority="1087" operator="equal">
      <formula>100</formula>
    </cfRule>
  </conditionalFormatting>
  <conditionalFormatting sqref="C39">
    <cfRule type="cellIs" dxfId="266" priority="1080" operator="equal">
      <formula>100</formula>
    </cfRule>
  </conditionalFormatting>
  <conditionalFormatting sqref="C43:C46">
    <cfRule type="cellIs" dxfId="265" priority="1073" operator="equal">
      <formula>100</formula>
    </cfRule>
  </conditionalFormatting>
  <conditionalFormatting sqref="C43:C47">
    <cfRule type="cellIs" dxfId="264" priority="1067" operator="equal">
      <formula>"--Select activity--"</formula>
    </cfRule>
    <cfRule type="cellIs" dxfId="263" priority="1069" operator="equal">
      <formula>"--Select--"</formula>
    </cfRule>
    <cfRule type="cellIs" dxfId="262" priority="1068" operator="equal">
      <formula>"--Select input--"</formula>
    </cfRule>
  </conditionalFormatting>
  <conditionalFormatting sqref="C50:C54">
    <cfRule type="cellIs" dxfId="261" priority="1066" operator="equal">
      <formula>100</formula>
    </cfRule>
  </conditionalFormatting>
  <conditionalFormatting sqref="C58">
    <cfRule type="cellIs" dxfId="260" priority="1059" operator="equal">
      <formula>100</formula>
    </cfRule>
  </conditionalFormatting>
  <conditionalFormatting sqref="C60">
    <cfRule type="cellIs" dxfId="259" priority="1052" operator="equal">
      <formula>100</formula>
    </cfRule>
  </conditionalFormatting>
  <conditionalFormatting sqref="C62">
    <cfRule type="cellIs" dxfId="258" priority="1045" operator="equal">
      <formula>100</formula>
    </cfRule>
  </conditionalFormatting>
  <conditionalFormatting sqref="C64">
    <cfRule type="cellIs" dxfId="257" priority="1038" operator="equal">
      <formula>100</formula>
    </cfRule>
  </conditionalFormatting>
  <conditionalFormatting sqref="D4">
    <cfRule type="cellIs" dxfId="256" priority="25" operator="equal">
      <formula>0</formula>
    </cfRule>
  </conditionalFormatting>
  <conditionalFormatting sqref="D9:D27">
    <cfRule type="cellIs" dxfId="255" priority="48" operator="equal">
      <formula>0</formula>
    </cfRule>
  </conditionalFormatting>
  <conditionalFormatting sqref="D30:D39">
    <cfRule type="cellIs" dxfId="254" priority="47" operator="equal">
      <formula>0</formula>
    </cfRule>
  </conditionalFormatting>
  <conditionalFormatting sqref="D43:D46 F43:F46 H43:H46 J43:J46 L43:L46 N43:N46 P43:P46 R43:R46">
    <cfRule type="cellIs" dxfId="253" priority="1246" operator="equal">
      <formula>0</formula>
    </cfRule>
  </conditionalFormatting>
  <conditionalFormatting sqref="D50:D55 F50:F55 H50:H55 J50:J55 L50:L55 N50:N55 P50:P55 R50:R55">
    <cfRule type="cellIs" dxfId="252" priority="1245" operator="equal">
      <formula>0</formula>
    </cfRule>
  </conditionalFormatting>
  <conditionalFormatting sqref="E4">
    <cfRule type="cellIs" dxfId="251" priority="46" operator="equal">
      <formula>"--Select activity--"</formula>
    </cfRule>
    <cfRule type="cellIs" dxfId="250" priority="44" operator="equal">
      <formula>"--Select--"</formula>
    </cfRule>
    <cfRule type="cellIs" dxfId="249" priority="45" operator="equal">
      <formula>"--Select input--"</formula>
    </cfRule>
  </conditionalFormatting>
  <conditionalFormatting sqref="E6:E27">
    <cfRule type="cellIs" dxfId="248" priority="971" operator="equal">
      <formula>"--Select--"</formula>
    </cfRule>
    <cfRule type="cellIs" dxfId="247" priority="970" operator="equal">
      <formula>"--Select input--"</formula>
    </cfRule>
    <cfRule type="cellIs" dxfId="246" priority="969" operator="equal">
      <formula>"--Select activity--"</formula>
    </cfRule>
  </conditionalFormatting>
  <conditionalFormatting sqref="E10">
    <cfRule type="cellIs" dxfId="245" priority="1031" operator="equal">
      <formula>100</formula>
    </cfRule>
  </conditionalFormatting>
  <conditionalFormatting sqref="E12">
    <cfRule type="cellIs" dxfId="244" priority="1024" operator="equal">
      <formula>100</formula>
    </cfRule>
  </conditionalFormatting>
  <conditionalFormatting sqref="E14">
    <cfRule type="cellIs" dxfId="243" priority="1017" operator="equal">
      <formula>100</formula>
    </cfRule>
  </conditionalFormatting>
  <conditionalFormatting sqref="E16">
    <cfRule type="cellIs" dxfId="242" priority="1010" operator="equal">
      <formula>100</formula>
    </cfRule>
  </conditionalFormatting>
  <conditionalFormatting sqref="E18">
    <cfRule type="cellIs" dxfId="241" priority="1003" operator="equal">
      <formula>100</formula>
    </cfRule>
  </conditionalFormatting>
  <conditionalFormatting sqref="E20">
    <cfRule type="cellIs" dxfId="240" priority="996" operator="equal">
      <formula>100</formula>
    </cfRule>
  </conditionalFormatting>
  <conditionalFormatting sqref="E22">
    <cfRule type="cellIs" dxfId="239" priority="989" operator="equal">
      <formula>100</formula>
    </cfRule>
  </conditionalFormatting>
  <conditionalFormatting sqref="E24">
    <cfRule type="cellIs" dxfId="238" priority="982" operator="equal">
      <formula>100</formula>
    </cfRule>
  </conditionalFormatting>
  <conditionalFormatting sqref="E26">
    <cfRule type="cellIs" dxfId="237" priority="975" operator="equal">
      <formula>100</formula>
    </cfRule>
  </conditionalFormatting>
  <conditionalFormatting sqref="E30:E39">
    <cfRule type="cellIs" dxfId="236" priority="556" operator="equal">
      <formula>"--Select activity--"</formula>
    </cfRule>
    <cfRule type="cellIs" dxfId="235" priority="558" operator="equal">
      <formula>"--Select--"</formula>
    </cfRule>
    <cfRule type="cellIs" dxfId="234" priority="557" operator="equal">
      <formula>"--Select input--"</formula>
    </cfRule>
  </conditionalFormatting>
  <conditionalFormatting sqref="E31">
    <cfRule type="cellIs" dxfId="233" priority="590" operator="equal">
      <formula>100</formula>
    </cfRule>
  </conditionalFormatting>
  <conditionalFormatting sqref="E33">
    <cfRule type="cellIs" dxfId="232" priority="583" operator="equal">
      <formula>100</formula>
    </cfRule>
  </conditionalFormatting>
  <conditionalFormatting sqref="E35">
    <cfRule type="cellIs" dxfId="231" priority="576" operator="equal">
      <formula>100</formula>
    </cfRule>
  </conditionalFormatting>
  <conditionalFormatting sqref="E37">
    <cfRule type="cellIs" dxfId="230" priority="569" operator="equal">
      <formula>100</formula>
    </cfRule>
  </conditionalFormatting>
  <conditionalFormatting sqref="E39">
    <cfRule type="cellIs" dxfId="229" priority="562" operator="equal">
      <formula>100</formula>
    </cfRule>
  </conditionalFormatting>
  <conditionalFormatting sqref="E42:E67">
    <cfRule type="cellIs" dxfId="228" priority="263" operator="equal">
      <formula>"--Select input--"</formula>
    </cfRule>
    <cfRule type="cellIs" dxfId="227" priority="262" operator="equal">
      <formula>"--Select activity--"</formula>
    </cfRule>
    <cfRule type="cellIs" dxfId="226" priority="264" operator="equal">
      <formula>"--Select--"</formula>
    </cfRule>
  </conditionalFormatting>
  <conditionalFormatting sqref="E43:E46">
    <cfRule type="cellIs" dxfId="225" priority="345" operator="equal">
      <formula>100</formula>
    </cfRule>
  </conditionalFormatting>
  <conditionalFormatting sqref="E50:E54">
    <cfRule type="cellIs" dxfId="224" priority="296" operator="equal">
      <formula>100</formula>
    </cfRule>
  </conditionalFormatting>
  <conditionalFormatting sqref="E58">
    <cfRule type="cellIs" dxfId="223" priority="289" operator="equal">
      <formula>100</formula>
    </cfRule>
  </conditionalFormatting>
  <conditionalFormatting sqref="E60">
    <cfRule type="cellIs" dxfId="222" priority="282" operator="equal">
      <formula>100</formula>
    </cfRule>
  </conditionalFormatting>
  <conditionalFormatting sqref="E62">
    <cfRule type="cellIs" dxfId="221" priority="275" operator="equal">
      <formula>100</formula>
    </cfRule>
  </conditionalFormatting>
  <conditionalFormatting sqref="E64">
    <cfRule type="cellIs" dxfId="220" priority="268" operator="equal">
      <formula>100</formula>
    </cfRule>
  </conditionalFormatting>
  <conditionalFormatting sqref="F4 H4 J4 L4 N4 P4 R4 F9:F27 H9:H27 J9:J27 L9:L27 N9:N27 P9:P27 R9:R27 F30:F39 H30:H39 J30:J39 L30:L39 N30:N39 P30:P39 R30:R39 D57:D65 F57:F65 H57:H65 J57:J65 L57:L65 N57:N65 P57:P65 R57:R65">
    <cfRule type="cellIs" dxfId="219" priority="1243" operator="equal">
      <formula>0</formula>
    </cfRule>
  </conditionalFormatting>
  <conditionalFormatting sqref="G4">
    <cfRule type="cellIs" dxfId="218" priority="41" operator="equal">
      <formula>"--Select--"</formula>
    </cfRule>
    <cfRule type="cellIs" dxfId="217" priority="42" operator="equal">
      <formula>"--Select input--"</formula>
    </cfRule>
    <cfRule type="cellIs" dxfId="216" priority="43" operator="equal">
      <formula>"--Select activity--"</formula>
    </cfRule>
  </conditionalFormatting>
  <conditionalFormatting sqref="G6:G27">
    <cfRule type="cellIs" dxfId="215" priority="908" operator="equal">
      <formula>"--Select--"</formula>
    </cfRule>
    <cfRule type="cellIs" dxfId="214" priority="907" operator="equal">
      <formula>"--Select input--"</formula>
    </cfRule>
    <cfRule type="cellIs" dxfId="213" priority="906" operator="equal">
      <formula>"--Select activity--"</formula>
    </cfRule>
  </conditionalFormatting>
  <conditionalFormatting sqref="G10">
    <cfRule type="cellIs" dxfId="212" priority="968" operator="equal">
      <formula>100</formula>
    </cfRule>
  </conditionalFormatting>
  <conditionalFormatting sqref="G12">
    <cfRule type="cellIs" dxfId="211" priority="961" operator="equal">
      <formula>100</formula>
    </cfRule>
  </conditionalFormatting>
  <conditionalFormatting sqref="G14">
    <cfRule type="cellIs" dxfId="210" priority="954" operator="equal">
      <formula>100</formula>
    </cfRule>
  </conditionalFormatting>
  <conditionalFormatting sqref="G16">
    <cfRule type="cellIs" dxfId="209" priority="947" operator="equal">
      <formula>100</formula>
    </cfRule>
  </conditionalFormatting>
  <conditionalFormatting sqref="G18">
    <cfRule type="cellIs" dxfId="208" priority="940" operator="equal">
      <formula>100</formula>
    </cfRule>
  </conditionalFormatting>
  <conditionalFormatting sqref="G20">
    <cfRule type="cellIs" dxfId="207" priority="933" operator="equal">
      <formula>100</formula>
    </cfRule>
  </conditionalFormatting>
  <conditionalFormatting sqref="G22">
    <cfRule type="cellIs" dxfId="206" priority="926" operator="equal">
      <formula>100</formula>
    </cfRule>
  </conditionalFormatting>
  <conditionalFormatting sqref="G24">
    <cfRule type="cellIs" dxfId="205" priority="919" operator="equal">
      <formula>100</formula>
    </cfRule>
  </conditionalFormatting>
  <conditionalFormatting sqref="G26">
    <cfRule type="cellIs" dxfId="204" priority="912" operator="equal">
      <formula>100</formula>
    </cfRule>
  </conditionalFormatting>
  <conditionalFormatting sqref="G30:G39">
    <cfRule type="cellIs" dxfId="203" priority="521" operator="equal">
      <formula>"--Select activity--"</formula>
    </cfRule>
    <cfRule type="cellIs" dxfId="202" priority="522" operator="equal">
      <formula>"--Select input--"</formula>
    </cfRule>
    <cfRule type="cellIs" dxfId="201" priority="523" operator="equal">
      <formula>"--Select--"</formula>
    </cfRule>
  </conditionalFormatting>
  <conditionalFormatting sqref="G31">
    <cfRule type="cellIs" dxfId="200" priority="555" operator="equal">
      <formula>100</formula>
    </cfRule>
  </conditionalFormatting>
  <conditionalFormatting sqref="G33">
    <cfRule type="cellIs" dxfId="199" priority="548" operator="equal">
      <formula>100</formula>
    </cfRule>
  </conditionalFormatting>
  <conditionalFormatting sqref="G35">
    <cfRule type="cellIs" dxfId="198" priority="541" operator="equal">
      <formula>100</formula>
    </cfRule>
  </conditionalFormatting>
  <conditionalFormatting sqref="G37">
    <cfRule type="cellIs" dxfId="197" priority="534" operator="equal">
      <formula>100</formula>
    </cfRule>
  </conditionalFormatting>
  <conditionalFormatting sqref="G39">
    <cfRule type="cellIs" dxfId="196" priority="527" operator="equal">
      <formula>100</formula>
    </cfRule>
  </conditionalFormatting>
  <conditionalFormatting sqref="G42:G67">
    <cfRule type="cellIs" dxfId="195" priority="228" operator="equal">
      <formula>"--Select input--"</formula>
    </cfRule>
    <cfRule type="cellIs" dxfId="194" priority="229" operator="equal">
      <formula>"--Select--"</formula>
    </cfRule>
    <cfRule type="cellIs" dxfId="193" priority="227" operator="equal">
      <formula>"--Select activity--"</formula>
    </cfRule>
  </conditionalFormatting>
  <conditionalFormatting sqref="G43:G46">
    <cfRule type="cellIs" dxfId="192" priority="338" operator="equal">
      <formula>100</formula>
    </cfRule>
  </conditionalFormatting>
  <conditionalFormatting sqref="G50:G54">
    <cfRule type="cellIs" dxfId="191" priority="261" operator="equal">
      <formula>100</formula>
    </cfRule>
  </conditionalFormatting>
  <conditionalFormatting sqref="G58">
    <cfRule type="cellIs" dxfId="190" priority="254" operator="equal">
      <formula>100</formula>
    </cfRule>
  </conditionalFormatting>
  <conditionalFormatting sqref="G60">
    <cfRule type="cellIs" dxfId="189" priority="247" operator="equal">
      <formula>100</formula>
    </cfRule>
  </conditionalFormatting>
  <conditionalFormatting sqref="G62">
    <cfRule type="cellIs" dxfId="188" priority="240" operator="equal">
      <formula>100</formula>
    </cfRule>
  </conditionalFormatting>
  <conditionalFormatting sqref="G64">
    <cfRule type="cellIs" dxfId="187" priority="233" operator="equal">
      <formula>100</formula>
    </cfRule>
  </conditionalFormatting>
  <conditionalFormatting sqref="I4">
    <cfRule type="cellIs" dxfId="186" priority="40" operator="equal">
      <formula>"--Select activity--"</formula>
    </cfRule>
    <cfRule type="cellIs" dxfId="185" priority="38" operator="equal">
      <formula>"--Select--"</formula>
    </cfRule>
    <cfRule type="cellIs" dxfId="184" priority="39" operator="equal">
      <formula>"--Select input--"</formula>
    </cfRule>
  </conditionalFormatting>
  <conditionalFormatting sqref="I6:I27">
    <cfRule type="cellIs" dxfId="183" priority="845" operator="equal">
      <formula>"--Select--"</formula>
    </cfRule>
    <cfRule type="cellIs" dxfId="182" priority="844" operator="equal">
      <formula>"--Select input--"</formula>
    </cfRule>
    <cfRule type="cellIs" dxfId="181" priority="843" operator="equal">
      <formula>"--Select activity--"</formula>
    </cfRule>
  </conditionalFormatting>
  <conditionalFormatting sqref="I10">
    <cfRule type="cellIs" dxfId="180" priority="905" operator="equal">
      <formula>100</formula>
    </cfRule>
  </conditionalFormatting>
  <conditionalFormatting sqref="I12">
    <cfRule type="cellIs" dxfId="179" priority="898" operator="equal">
      <formula>100</formula>
    </cfRule>
  </conditionalFormatting>
  <conditionalFormatting sqref="I14">
    <cfRule type="cellIs" dxfId="178" priority="891" operator="equal">
      <formula>100</formula>
    </cfRule>
  </conditionalFormatting>
  <conditionalFormatting sqref="I16">
    <cfRule type="cellIs" dxfId="177" priority="884" operator="equal">
      <formula>100</formula>
    </cfRule>
  </conditionalFormatting>
  <conditionalFormatting sqref="I18">
    <cfRule type="cellIs" dxfId="176" priority="877" operator="equal">
      <formula>100</formula>
    </cfRule>
  </conditionalFormatting>
  <conditionalFormatting sqref="I20">
    <cfRule type="cellIs" dxfId="175" priority="870" operator="equal">
      <formula>100</formula>
    </cfRule>
  </conditionalFormatting>
  <conditionalFormatting sqref="I22">
    <cfRule type="cellIs" dxfId="174" priority="863" operator="equal">
      <formula>100</formula>
    </cfRule>
  </conditionalFormatting>
  <conditionalFormatting sqref="I24">
    <cfRule type="cellIs" dxfId="173" priority="856" operator="equal">
      <formula>100</formula>
    </cfRule>
  </conditionalFormatting>
  <conditionalFormatting sqref="I26">
    <cfRule type="cellIs" dxfId="172" priority="849" operator="equal">
      <formula>100</formula>
    </cfRule>
  </conditionalFormatting>
  <conditionalFormatting sqref="I30:I39">
    <cfRule type="cellIs" dxfId="171" priority="486" operator="equal">
      <formula>"--Select activity--"</formula>
    </cfRule>
    <cfRule type="cellIs" dxfId="170" priority="487" operator="equal">
      <formula>"--Select input--"</formula>
    </cfRule>
    <cfRule type="cellIs" dxfId="169" priority="488" operator="equal">
      <formula>"--Select--"</formula>
    </cfRule>
  </conditionalFormatting>
  <conditionalFormatting sqref="I31">
    <cfRule type="cellIs" dxfId="168" priority="520" operator="equal">
      <formula>100</formula>
    </cfRule>
  </conditionalFormatting>
  <conditionalFormatting sqref="I33">
    <cfRule type="cellIs" dxfId="167" priority="513" operator="equal">
      <formula>100</formula>
    </cfRule>
  </conditionalFormatting>
  <conditionalFormatting sqref="I35">
    <cfRule type="cellIs" dxfId="166" priority="506" operator="equal">
      <formula>100</formula>
    </cfRule>
  </conditionalFormatting>
  <conditionalFormatting sqref="I37">
    <cfRule type="cellIs" dxfId="165" priority="499" operator="equal">
      <formula>100</formula>
    </cfRule>
  </conditionalFormatting>
  <conditionalFormatting sqref="I39">
    <cfRule type="cellIs" dxfId="164" priority="492" operator="equal">
      <formula>100</formula>
    </cfRule>
  </conditionalFormatting>
  <conditionalFormatting sqref="I42:I67">
    <cfRule type="cellIs" dxfId="163" priority="194" operator="equal">
      <formula>"--Select--"</formula>
    </cfRule>
    <cfRule type="cellIs" dxfId="162" priority="193" operator="equal">
      <formula>"--Select input--"</formula>
    </cfRule>
    <cfRule type="cellIs" dxfId="161" priority="192" operator="equal">
      <formula>"--Select activity--"</formula>
    </cfRule>
  </conditionalFormatting>
  <conditionalFormatting sqref="I43:I46">
    <cfRule type="cellIs" dxfId="160" priority="331" operator="equal">
      <formula>100</formula>
    </cfRule>
  </conditionalFormatting>
  <conditionalFormatting sqref="I50:I54">
    <cfRule type="cellIs" dxfId="159" priority="226" operator="equal">
      <formula>100</formula>
    </cfRule>
  </conditionalFormatting>
  <conditionalFormatting sqref="I58">
    <cfRule type="cellIs" dxfId="158" priority="219" operator="equal">
      <formula>100</formula>
    </cfRule>
  </conditionalFormatting>
  <conditionalFormatting sqref="I60">
    <cfRule type="cellIs" dxfId="157" priority="212" operator="equal">
      <formula>100</formula>
    </cfRule>
  </conditionalFormatting>
  <conditionalFormatting sqref="I62">
    <cfRule type="cellIs" dxfId="156" priority="205" operator="equal">
      <formula>100</formula>
    </cfRule>
  </conditionalFormatting>
  <conditionalFormatting sqref="I64">
    <cfRule type="cellIs" dxfId="155" priority="198" operator="equal">
      <formula>100</formula>
    </cfRule>
  </conditionalFormatting>
  <conditionalFormatting sqref="K4">
    <cfRule type="cellIs" dxfId="154" priority="35" operator="equal">
      <formula>"--Select--"</formula>
    </cfRule>
    <cfRule type="cellIs" dxfId="153" priority="37" operator="equal">
      <formula>"--Select activity--"</formula>
    </cfRule>
    <cfRule type="cellIs" dxfId="152" priority="36" operator="equal">
      <formula>"--Select input--"</formula>
    </cfRule>
  </conditionalFormatting>
  <conditionalFormatting sqref="K6:K27">
    <cfRule type="cellIs" dxfId="151" priority="780" operator="equal">
      <formula>"--Select activity--"</formula>
    </cfRule>
    <cfRule type="cellIs" dxfId="150" priority="781" operator="equal">
      <formula>"--Select input--"</formula>
    </cfRule>
    <cfRule type="cellIs" dxfId="149" priority="782" operator="equal">
      <formula>"--Select--"</formula>
    </cfRule>
  </conditionalFormatting>
  <conditionalFormatting sqref="K10">
    <cfRule type="cellIs" dxfId="148" priority="842" operator="equal">
      <formula>100</formula>
    </cfRule>
  </conditionalFormatting>
  <conditionalFormatting sqref="K12">
    <cfRule type="cellIs" dxfId="147" priority="835" operator="equal">
      <formula>100</formula>
    </cfRule>
  </conditionalFormatting>
  <conditionalFormatting sqref="K14">
    <cfRule type="cellIs" dxfId="146" priority="828" operator="equal">
      <formula>100</formula>
    </cfRule>
  </conditionalFormatting>
  <conditionalFormatting sqref="K16">
    <cfRule type="cellIs" dxfId="145" priority="821" operator="equal">
      <formula>100</formula>
    </cfRule>
  </conditionalFormatting>
  <conditionalFormatting sqref="K18">
    <cfRule type="cellIs" dxfId="144" priority="814" operator="equal">
      <formula>100</formula>
    </cfRule>
  </conditionalFormatting>
  <conditionalFormatting sqref="K20">
    <cfRule type="cellIs" dxfId="143" priority="807" operator="equal">
      <formula>100</formula>
    </cfRule>
  </conditionalFormatting>
  <conditionalFormatting sqref="K22">
    <cfRule type="cellIs" dxfId="142" priority="800" operator="equal">
      <formula>100</formula>
    </cfRule>
  </conditionalFormatting>
  <conditionalFormatting sqref="K24">
    <cfRule type="cellIs" dxfId="141" priority="793" operator="equal">
      <formula>100</formula>
    </cfRule>
  </conditionalFormatting>
  <conditionalFormatting sqref="K26">
    <cfRule type="cellIs" dxfId="140" priority="786" operator="equal">
      <formula>100</formula>
    </cfRule>
  </conditionalFormatting>
  <conditionalFormatting sqref="K30:K39">
    <cfRule type="cellIs" dxfId="139" priority="453" operator="equal">
      <formula>"--Select--"</formula>
    </cfRule>
    <cfRule type="cellIs" dxfId="138" priority="452" operator="equal">
      <formula>"--Select input--"</formula>
    </cfRule>
    <cfRule type="cellIs" dxfId="137" priority="451" operator="equal">
      <formula>"--Select activity--"</formula>
    </cfRule>
  </conditionalFormatting>
  <conditionalFormatting sqref="K31">
    <cfRule type="cellIs" dxfId="136" priority="485" operator="equal">
      <formula>100</formula>
    </cfRule>
  </conditionalFormatting>
  <conditionalFormatting sqref="K33">
    <cfRule type="cellIs" dxfId="135" priority="478" operator="equal">
      <formula>100</formula>
    </cfRule>
  </conditionalFormatting>
  <conditionalFormatting sqref="K35">
    <cfRule type="cellIs" dxfId="134" priority="471" operator="equal">
      <formula>100</formula>
    </cfRule>
  </conditionalFormatting>
  <conditionalFormatting sqref="K37">
    <cfRule type="cellIs" dxfId="133" priority="464" operator="equal">
      <formula>100</formula>
    </cfRule>
  </conditionalFormatting>
  <conditionalFormatting sqref="K39">
    <cfRule type="cellIs" dxfId="132" priority="457" operator="equal">
      <formula>100</formula>
    </cfRule>
  </conditionalFormatting>
  <conditionalFormatting sqref="K42:K67">
    <cfRule type="cellIs" dxfId="131" priority="157" operator="equal">
      <formula>"--Select activity--"</formula>
    </cfRule>
    <cfRule type="cellIs" dxfId="130" priority="158" operator="equal">
      <formula>"--Select input--"</formula>
    </cfRule>
    <cfRule type="cellIs" dxfId="129" priority="159" operator="equal">
      <formula>"--Select--"</formula>
    </cfRule>
  </conditionalFormatting>
  <conditionalFormatting sqref="K43:K46">
    <cfRule type="cellIs" dxfId="128" priority="324" operator="equal">
      <formula>100</formula>
    </cfRule>
  </conditionalFormatting>
  <conditionalFormatting sqref="K50:K54">
    <cfRule type="cellIs" dxfId="127" priority="191" operator="equal">
      <formula>100</formula>
    </cfRule>
  </conditionalFormatting>
  <conditionalFormatting sqref="K58">
    <cfRule type="cellIs" dxfId="126" priority="184" operator="equal">
      <formula>100</formula>
    </cfRule>
  </conditionalFormatting>
  <conditionalFormatting sqref="K60">
    <cfRule type="cellIs" dxfId="125" priority="177" operator="equal">
      <formula>100</formula>
    </cfRule>
  </conditionalFormatting>
  <conditionalFormatting sqref="K62">
    <cfRule type="cellIs" dxfId="124" priority="170" operator="equal">
      <formula>100</formula>
    </cfRule>
  </conditionalFormatting>
  <conditionalFormatting sqref="K64">
    <cfRule type="cellIs" dxfId="123" priority="163" operator="equal">
      <formula>100</formula>
    </cfRule>
  </conditionalFormatting>
  <conditionalFormatting sqref="M4">
    <cfRule type="cellIs" dxfId="122" priority="32" operator="equal">
      <formula>"--Select--"</formula>
    </cfRule>
    <cfRule type="cellIs" dxfId="121" priority="34" operator="equal">
      <formula>"--Select activity--"</formula>
    </cfRule>
    <cfRule type="cellIs" dxfId="120" priority="33" operator="equal">
      <formula>"--Select input--"</formula>
    </cfRule>
  </conditionalFormatting>
  <conditionalFormatting sqref="M6:M27">
    <cfRule type="cellIs" dxfId="119" priority="718" operator="equal">
      <formula>"--Select input--"</formula>
    </cfRule>
    <cfRule type="cellIs" dxfId="118" priority="719" operator="equal">
      <formula>"--Select--"</formula>
    </cfRule>
    <cfRule type="cellIs" dxfId="117" priority="717" operator="equal">
      <formula>"--Select activity--"</formula>
    </cfRule>
  </conditionalFormatting>
  <conditionalFormatting sqref="M10">
    <cfRule type="cellIs" dxfId="116" priority="779" operator="equal">
      <formula>100</formula>
    </cfRule>
  </conditionalFormatting>
  <conditionalFormatting sqref="M12">
    <cfRule type="cellIs" dxfId="115" priority="772" operator="equal">
      <formula>100</formula>
    </cfRule>
  </conditionalFormatting>
  <conditionalFormatting sqref="M14">
    <cfRule type="cellIs" dxfId="114" priority="765" operator="equal">
      <formula>100</formula>
    </cfRule>
  </conditionalFormatting>
  <conditionalFormatting sqref="M16">
    <cfRule type="cellIs" dxfId="113" priority="758" operator="equal">
      <formula>100</formula>
    </cfRule>
  </conditionalFormatting>
  <conditionalFormatting sqref="M18">
    <cfRule type="cellIs" dxfId="112" priority="751" operator="equal">
      <formula>100</formula>
    </cfRule>
  </conditionalFormatting>
  <conditionalFormatting sqref="M20">
    <cfRule type="cellIs" dxfId="111" priority="744" operator="equal">
      <formula>100</formula>
    </cfRule>
  </conditionalFormatting>
  <conditionalFormatting sqref="M22">
    <cfRule type="cellIs" dxfId="110" priority="737" operator="equal">
      <formula>100</formula>
    </cfRule>
  </conditionalFormatting>
  <conditionalFormatting sqref="M24">
    <cfRule type="cellIs" dxfId="109" priority="730" operator="equal">
      <formula>100</formula>
    </cfRule>
  </conditionalFormatting>
  <conditionalFormatting sqref="M26">
    <cfRule type="cellIs" dxfId="108" priority="723" operator="equal">
      <formula>100</formula>
    </cfRule>
  </conditionalFormatting>
  <conditionalFormatting sqref="M30:M39">
    <cfRule type="cellIs" dxfId="107" priority="417" operator="equal">
      <formula>"--Select input--"</formula>
    </cfRule>
    <cfRule type="cellIs" dxfId="106" priority="418" operator="equal">
      <formula>"--Select--"</formula>
    </cfRule>
    <cfRule type="cellIs" dxfId="105" priority="416" operator="equal">
      <formula>"--Select activity--"</formula>
    </cfRule>
  </conditionalFormatting>
  <conditionalFormatting sqref="M31">
    <cfRule type="cellIs" dxfId="104" priority="450" operator="equal">
      <formula>100</formula>
    </cfRule>
  </conditionalFormatting>
  <conditionalFormatting sqref="M33">
    <cfRule type="cellIs" dxfId="103" priority="443" operator="equal">
      <formula>100</formula>
    </cfRule>
  </conditionalFormatting>
  <conditionalFormatting sqref="M35">
    <cfRule type="cellIs" dxfId="102" priority="436" operator="equal">
      <formula>100</formula>
    </cfRule>
  </conditionalFormatting>
  <conditionalFormatting sqref="M37">
    <cfRule type="cellIs" dxfId="101" priority="429" operator="equal">
      <formula>100</formula>
    </cfRule>
  </conditionalFormatting>
  <conditionalFormatting sqref="M39">
    <cfRule type="cellIs" dxfId="100" priority="422" operator="equal">
      <formula>100</formula>
    </cfRule>
  </conditionalFormatting>
  <conditionalFormatting sqref="M42:M67">
    <cfRule type="cellIs" dxfId="99" priority="123" operator="equal">
      <formula>"--Select input--"</formula>
    </cfRule>
    <cfRule type="cellIs" dxfId="98" priority="122" operator="equal">
      <formula>"--Select activity--"</formula>
    </cfRule>
    <cfRule type="cellIs" dxfId="97" priority="124" operator="equal">
      <formula>"--Select--"</formula>
    </cfRule>
  </conditionalFormatting>
  <conditionalFormatting sqref="M43:M46">
    <cfRule type="cellIs" dxfId="96" priority="317" operator="equal">
      <formula>100</formula>
    </cfRule>
  </conditionalFormatting>
  <conditionalFormatting sqref="M50:M54">
    <cfRule type="cellIs" dxfId="95" priority="156" operator="equal">
      <formula>100</formula>
    </cfRule>
  </conditionalFormatting>
  <conditionalFormatting sqref="M58">
    <cfRule type="cellIs" dxfId="94" priority="149" operator="equal">
      <formula>100</formula>
    </cfRule>
  </conditionalFormatting>
  <conditionalFormatting sqref="M60">
    <cfRule type="cellIs" dxfId="93" priority="142" operator="equal">
      <formula>100</formula>
    </cfRule>
  </conditionalFormatting>
  <conditionalFormatting sqref="M62">
    <cfRule type="cellIs" dxfId="92" priority="135" operator="equal">
      <formula>100</formula>
    </cfRule>
  </conditionalFormatting>
  <conditionalFormatting sqref="M64">
    <cfRule type="cellIs" dxfId="91" priority="128" operator="equal">
      <formula>100</formula>
    </cfRule>
  </conditionalFormatting>
  <conditionalFormatting sqref="O4">
    <cfRule type="cellIs" dxfId="90" priority="29" operator="equal">
      <formula>"--Select--"</formula>
    </cfRule>
    <cfRule type="cellIs" dxfId="89" priority="30" operator="equal">
      <formula>"--Select input--"</formula>
    </cfRule>
    <cfRule type="cellIs" dxfId="88" priority="31" operator="equal">
      <formula>"--Select activity--"</formula>
    </cfRule>
  </conditionalFormatting>
  <conditionalFormatting sqref="O6:O27">
    <cfRule type="cellIs" dxfId="87" priority="656" operator="equal">
      <formula>"--Select--"</formula>
    </cfRule>
    <cfRule type="cellIs" dxfId="86" priority="655" operator="equal">
      <formula>"--Select input--"</formula>
    </cfRule>
    <cfRule type="cellIs" dxfId="85" priority="654" operator="equal">
      <formula>"--Select activity--"</formula>
    </cfRule>
  </conditionalFormatting>
  <conditionalFormatting sqref="O10">
    <cfRule type="cellIs" dxfId="84" priority="716" operator="equal">
      <formula>100</formula>
    </cfRule>
  </conditionalFormatting>
  <conditionalFormatting sqref="O12">
    <cfRule type="cellIs" dxfId="83" priority="709" operator="equal">
      <formula>100</formula>
    </cfRule>
  </conditionalFormatting>
  <conditionalFormatting sqref="O14">
    <cfRule type="cellIs" dxfId="82" priority="702" operator="equal">
      <formula>100</formula>
    </cfRule>
  </conditionalFormatting>
  <conditionalFormatting sqref="O16">
    <cfRule type="cellIs" dxfId="81" priority="695" operator="equal">
      <formula>100</formula>
    </cfRule>
  </conditionalFormatting>
  <conditionalFormatting sqref="O18">
    <cfRule type="cellIs" dxfId="80" priority="688" operator="equal">
      <formula>100</formula>
    </cfRule>
  </conditionalFormatting>
  <conditionalFormatting sqref="O20">
    <cfRule type="cellIs" dxfId="79" priority="681" operator="equal">
      <formula>100</formula>
    </cfRule>
  </conditionalFormatting>
  <conditionalFormatting sqref="O22">
    <cfRule type="cellIs" dxfId="78" priority="674" operator="equal">
      <formula>100</formula>
    </cfRule>
  </conditionalFormatting>
  <conditionalFormatting sqref="O24">
    <cfRule type="cellIs" dxfId="77" priority="667" operator="equal">
      <formula>100</formula>
    </cfRule>
  </conditionalFormatting>
  <conditionalFormatting sqref="O26">
    <cfRule type="cellIs" dxfId="76" priority="660" operator="equal">
      <formula>100</formula>
    </cfRule>
  </conditionalFormatting>
  <conditionalFormatting sqref="O30:O39">
    <cfRule type="cellIs" dxfId="75" priority="381" operator="equal">
      <formula>"--Select activity--"</formula>
    </cfRule>
    <cfRule type="cellIs" dxfId="74" priority="383" operator="equal">
      <formula>"--Select--"</formula>
    </cfRule>
    <cfRule type="cellIs" dxfId="73" priority="382" operator="equal">
      <formula>"--Select input--"</formula>
    </cfRule>
  </conditionalFormatting>
  <conditionalFormatting sqref="O31">
    <cfRule type="cellIs" dxfId="72" priority="415" operator="equal">
      <formula>100</formula>
    </cfRule>
  </conditionalFormatting>
  <conditionalFormatting sqref="O33">
    <cfRule type="cellIs" dxfId="71" priority="408" operator="equal">
      <formula>100</formula>
    </cfRule>
  </conditionalFormatting>
  <conditionalFormatting sqref="O35">
    <cfRule type="cellIs" dxfId="70" priority="401" operator="equal">
      <formula>100</formula>
    </cfRule>
  </conditionalFormatting>
  <conditionalFormatting sqref="O37">
    <cfRule type="cellIs" dxfId="69" priority="394" operator="equal">
      <formula>100</formula>
    </cfRule>
  </conditionalFormatting>
  <conditionalFormatting sqref="O39">
    <cfRule type="cellIs" dxfId="68" priority="387" operator="equal">
      <formula>100</formula>
    </cfRule>
  </conditionalFormatting>
  <conditionalFormatting sqref="O42:O67">
    <cfRule type="cellIs" dxfId="67" priority="87" operator="equal">
      <formula>"--Select activity--"</formula>
    </cfRule>
    <cfRule type="cellIs" dxfId="66" priority="88" operator="equal">
      <formula>"--Select input--"</formula>
    </cfRule>
    <cfRule type="cellIs" dxfId="65" priority="89" operator="equal">
      <formula>"--Select--"</formula>
    </cfRule>
  </conditionalFormatting>
  <conditionalFormatting sqref="O43:O46">
    <cfRule type="cellIs" dxfId="64" priority="310" operator="equal">
      <formula>100</formula>
    </cfRule>
  </conditionalFormatting>
  <conditionalFormatting sqref="O50:O54">
    <cfRule type="cellIs" dxfId="63" priority="121" operator="equal">
      <formula>100</formula>
    </cfRule>
  </conditionalFormatting>
  <conditionalFormatting sqref="O58">
    <cfRule type="cellIs" dxfId="62" priority="114" operator="equal">
      <formula>100</formula>
    </cfRule>
  </conditionalFormatting>
  <conditionalFormatting sqref="O60">
    <cfRule type="cellIs" dxfId="61" priority="107" operator="equal">
      <formula>100</formula>
    </cfRule>
  </conditionalFormatting>
  <conditionalFormatting sqref="O62">
    <cfRule type="cellIs" dxfId="60" priority="100" operator="equal">
      <formula>100</formula>
    </cfRule>
  </conditionalFormatting>
  <conditionalFormatting sqref="O64">
    <cfRule type="cellIs" dxfId="59" priority="93" operator="equal">
      <formula>100</formula>
    </cfRule>
  </conditionalFormatting>
  <conditionalFormatting sqref="Q4">
    <cfRule type="cellIs" dxfId="58" priority="26" operator="equal">
      <formula>"--Select--"</formula>
    </cfRule>
    <cfRule type="cellIs" dxfId="57" priority="27" operator="equal">
      <formula>"--Select input--"</formula>
    </cfRule>
    <cfRule type="cellIs" dxfId="56" priority="28" operator="equal">
      <formula>"--Select activity--"</formula>
    </cfRule>
  </conditionalFormatting>
  <conditionalFormatting sqref="Q6:Q27">
    <cfRule type="cellIs" dxfId="55" priority="592" operator="equal">
      <formula>"--Select input--"</formula>
    </cfRule>
    <cfRule type="cellIs" dxfId="54" priority="593" operator="equal">
      <formula>"--Select--"</formula>
    </cfRule>
    <cfRule type="cellIs" dxfId="53" priority="591" operator="equal">
      <formula>"--Select activity--"</formula>
    </cfRule>
  </conditionalFormatting>
  <conditionalFormatting sqref="Q10">
    <cfRule type="cellIs" dxfId="52" priority="653" operator="equal">
      <formula>100</formula>
    </cfRule>
  </conditionalFormatting>
  <conditionalFormatting sqref="Q12">
    <cfRule type="cellIs" dxfId="51" priority="646" operator="equal">
      <formula>100</formula>
    </cfRule>
  </conditionalFormatting>
  <conditionalFormatting sqref="Q14">
    <cfRule type="cellIs" dxfId="50" priority="639" operator="equal">
      <formula>100</formula>
    </cfRule>
  </conditionalFormatting>
  <conditionalFormatting sqref="Q16">
    <cfRule type="cellIs" dxfId="49" priority="632" operator="equal">
      <formula>100</formula>
    </cfRule>
  </conditionalFormatting>
  <conditionalFormatting sqref="Q18">
    <cfRule type="cellIs" dxfId="48" priority="625" operator="equal">
      <formula>100</formula>
    </cfRule>
  </conditionalFormatting>
  <conditionalFormatting sqref="Q20">
    <cfRule type="cellIs" dxfId="47" priority="618" operator="equal">
      <formula>100</formula>
    </cfRule>
  </conditionalFormatting>
  <conditionalFormatting sqref="Q22">
    <cfRule type="cellIs" dxfId="46" priority="611" operator="equal">
      <formula>100</formula>
    </cfRule>
  </conditionalFormatting>
  <conditionalFormatting sqref="Q24">
    <cfRule type="cellIs" dxfId="45" priority="604" operator="equal">
      <formula>100</formula>
    </cfRule>
  </conditionalFormatting>
  <conditionalFormatting sqref="Q26">
    <cfRule type="cellIs" dxfId="44" priority="597" operator="equal">
      <formula>100</formula>
    </cfRule>
  </conditionalFormatting>
  <conditionalFormatting sqref="Q30:Q39">
    <cfRule type="cellIs" dxfId="43" priority="348" operator="equal">
      <formula>"--Select--"</formula>
    </cfRule>
    <cfRule type="cellIs" dxfId="42" priority="347" operator="equal">
      <formula>"--Select input--"</formula>
    </cfRule>
    <cfRule type="cellIs" dxfId="41" priority="346" operator="equal">
      <formula>"--Select activity--"</formula>
    </cfRule>
  </conditionalFormatting>
  <conditionalFormatting sqref="Q31">
    <cfRule type="cellIs" dxfId="40" priority="380" operator="equal">
      <formula>100</formula>
    </cfRule>
  </conditionalFormatting>
  <conditionalFormatting sqref="Q33">
    <cfRule type="cellIs" dxfId="39" priority="373" operator="equal">
      <formula>100</formula>
    </cfRule>
  </conditionalFormatting>
  <conditionalFormatting sqref="Q35">
    <cfRule type="cellIs" dxfId="38" priority="366" operator="equal">
      <formula>100</formula>
    </cfRule>
  </conditionalFormatting>
  <conditionalFormatting sqref="Q37">
    <cfRule type="cellIs" dxfId="37" priority="359" operator="equal">
      <formula>100</formula>
    </cfRule>
  </conditionalFormatting>
  <conditionalFormatting sqref="Q39">
    <cfRule type="cellIs" dxfId="36" priority="352" operator="equal">
      <formula>100</formula>
    </cfRule>
  </conditionalFormatting>
  <conditionalFormatting sqref="Q42:Q67">
    <cfRule type="cellIs" dxfId="35" priority="54" operator="equal">
      <formula>"--Select--"</formula>
    </cfRule>
    <cfRule type="cellIs" dxfId="34" priority="53" operator="equal">
      <formula>"--Select input--"</formula>
    </cfRule>
    <cfRule type="cellIs" dxfId="33" priority="52" operator="equal">
      <formula>"--Select activity--"</formula>
    </cfRule>
  </conditionalFormatting>
  <conditionalFormatting sqref="Q43:Q46">
    <cfRule type="cellIs" dxfId="32" priority="303" operator="equal">
      <formula>100</formula>
    </cfRule>
  </conditionalFormatting>
  <conditionalFormatting sqref="Q50:Q54">
    <cfRule type="cellIs" dxfId="31" priority="86" operator="equal">
      <formula>100</formula>
    </cfRule>
  </conditionalFormatting>
  <conditionalFormatting sqref="Q58">
    <cfRule type="cellIs" dxfId="30" priority="79" operator="equal">
      <formula>100</formula>
    </cfRule>
  </conditionalFormatting>
  <conditionalFormatting sqref="Q60">
    <cfRule type="cellIs" dxfId="29" priority="72" operator="equal">
      <formula>100</formula>
    </cfRule>
  </conditionalFormatting>
  <conditionalFormatting sqref="Q62">
    <cfRule type="cellIs" dxfId="28" priority="65" operator="equal">
      <formula>100</formula>
    </cfRule>
  </conditionalFormatting>
  <conditionalFormatting sqref="Q64">
    <cfRule type="cellIs" dxfId="27" priority="58" operator="equal">
      <formula>100</formula>
    </cfRule>
  </conditionalFormatting>
  <conditionalFormatting sqref="S1:S2 S4:S5">
    <cfRule type="containsBlanks" dxfId="26" priority="1239">
      <formula>LEN(TRIM(S1))=0</formula>
    </cfRule>
  </conditionalFormatting>
  <conditionalFormatting sqref="S9:S27 B27:C27 E27 G27 I27 K27 M27 O27 Q27 S30:S40 B40 B47 S57:S65 B65">
    <cfRule type="containsBlanks" dxfId="25" priority="1237">
      <formula>LEN(TRIM(B9))=0</formula>
    </cfRule>
  </conditionalFormatting>
  <conditionalFormatting sqref="S43:S46 S50:S55">
    <cfRule type="containsBlanks" dxfId="24" priority="1249">
      <formula>LEN(TRIM(S43))=0</formula>
    </cfRule>
  </conditionalFormatting>
  <dataValidations count="1">
    <dataValidation allowBlank="1" showInputMessage="1" sqref="B47 B55 B40:B41 B27:B28 B65:B66" xr:uid="{EFEBAF3F-DC1B-4874-94A2-9A917A2C791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2A888B19-6DAF-404F-92A8-355552676438}">
          <x14:formula1>
            <xm:f>'Validation tables'!$AN$3:$AN$9</xm:f>
          </x14:formula1>
          <xm:sqref>A10:A26</xm:sqref>
        </x14:dataValidation>
        <x14:dataValidation type="list" allowBlank="1" showInputMessage="1" showErrorMessage="1" xr:uid="{93683BD6-4FF2-4026-8DE4-181A4225421B}">
          <x14:formula1>
            <xm:f>'Validation tables'!$Z$2:$Z$3</xm:f>
          </x14:formula1>
          <xm:sqref>G65 Q55 M55 M47 O55 Q47 E65 E55 C55 C47 E47 K47 I55 K65 I65 K55 G47 G55 I47 O65 C65 O47 Q65 M65</xm:sqref>
        </x14:dataValidation>
        <x14:dataValidation type="list" allowBlank="1" showInputMessage="1" showErrorMessage="1" xr:uid="{1D5E4B3F-BBE0-41C5-BA80-493BEC1C8D93}">
          <x14:formula1>
            <xm:f>'Validation tables'!$Z$2:$Z$4</xm:f>
          </x14:formula1>
          <xm:sqref>C10 Q64 Q62 Q60 Q58 Q50:Q54 O64 O62 O60 O58 O50:O54 M64 M62 M60 M58 M50:M54 K64 K62 K60 K58 K50:K54 I64 I62 I60 I58 I50:I54 G64 G62 G60 G58 G50:G54 E64 E62 E60 E58 E50:E54 Q43:Q46 O43:O46 M43:M46 K43:K46 I43:I46 G43:G46 E43:E46 Q39 Q37 Q35 Q33 Q31 O39 O37 O35 O33 O31 M39 M37 M35 M33 M31 K39 K37 K35 K33 K31 I39 I37 I35 I33 I31 G39 G37 G35 G33 G31 E39 E37 E35 E33 E31 Q26 Q24 Q22 Q20 Q18 Q16 Q14 Q12 Q10 O26 O24 O22 O20 O18 O16 O14 O12 O10 M26 M24 M22 M20 M18 M16 M14 M12 M10 K26 K24 K22 K20 K18 K16 K14 K12 K10 I26 I24 I22 I20 I18 I16 I14 I12 I10 G26 G24 G22 G20 G18 G16 G14 G12 G10 E26 E24 E22 E20 E18 E16 E14 E12 E10 C64 C62 C60 C58 C50:C54 C43:C46 C39 C37 C35 C33 C31 C26 C24 C22 C20 C18 C16 C14 C12</xm:sqref>
        </x14:dataValidation>
        <x14:dataValidation type="list" allowBlank="1" showInputMessage="1" showErrorMessage="1" xr:uid="{D6950BE7-55DC-4B26-91EC-FEA22BCDC91E}">
          <x14:formula1>
            <xm:f>'Validation tables'!$X$21:$X$24</xm:f>
          </x14:formula1>
          <xm:sqref>Q4 G4 I4 K4 M4 O4 C4 E4</xm:sqref>
        </x14:dataValidation>
        <x14:dataValidation type="list" allowBlank="1" showInputMessage="1" showErrorMessage="1" xr:uid="{B8AF34F9-94B1-4794-B89A-E11015652453}">
          <x14:formula1>
            <xm:f>'Validation tables'!$AN$3:$AN$10</xm:f>
          </x14:formula1>
          <xm:sqref>B9 B11 B13 B15 B17 B19 B21 B23 B25</xm:sqref>
        </x14:dataValidation>
        <x14:dataValidation type="list" allowBlank="1" showInputMessage="1" showErrorMessage="1" xr:uid="{8162132C-3E08-406D-9992-8C626C14F28B}">
          <x14:formula1>
            <xm:f>'Validation tables'!$AM$3:$AM$14</xm:f>
          </x14:formula1>
          <xm:sqref>B10 B12 B14 B16 B18 B20 B22 B24 B26</xm:sqref>
        </x14:dataValidation>
        <x14:dataValidation type="list" allowBlank="1" showInputMessage="1" showErrorMessage="1" xr:uid="{1FC3FC80-B4D9-4D4E-B67B-4D23F83A5D8D}">
          <x14:formula1>
            <xm:f>'Validation tables'!$AP$3:$AP$9</xm:f>
          </x14:formula1>
          <xm:sqref>B30 B32 B34 B36 B38</xm:sqref>
        </x14:dataValidation>
        <x14:dataValidation type="list" allowBlank="1" showInputMessage="1" showErrorMessage="1" xr:uid="{34BF0078-C3C0-4117-BBBE-CBE002A085D0}">
          <x14:formula1>
            <xm:f>'Validation tables'!$AO$3:$AO$10</xm:f>
          </x14:formula1>
          <xm:sqref>B31 B33 B35 B37 B39</xm:sqref>
        </x14:dataValidation>
        <x14:dataValidation type="list" allowBlank="1" showInputMessage="1" xr:uid="{5F267B0D-367C-443C-A23C-5EDA586E63EA}">
          <x14:formula1>
            <xm:f>'Validation tables'!$AQ$3:$AQ$7</xm:f>
          </x14:formula1>
          <xm:sqref>B43:B46</xm:sqref>
        </x14:dataValidation>
        <x14:dataValidation type="list" allowBlank="1" showInputMessage="1" showErrorMessage="1" xr:uid="{DE86E478-0C45-402E-89EC-74436538A7CF}">
          <x14:formula1>
            <xm:f>'Validation tables'!$AR$3:$AR$8</xm:f>
          </x14:formula1>
          <xm:sqref>B50:B54</xm:sqref>
        </x14:dataValidation>
        <x14:dataValidation type="list" allowBlank="1" showInputMessage="1" showErrorMessage="1" xr:uid="{B5AD754B-04A3-4A4C-9831-DFB20C5EA53C}">
          <x14:formula1>
            <xm:f>'Validation tables'!$AT$3:$AT$7</xm:f>
          </x14:formula1>
          <xm:sqref>B57 B59 B61 B63</xm:sqref>
        </x14:dataValidation>
        <x14:dataValidation type="list" allowBlank="1" showInputMessage="1" showErrorMessage="1" xr:uid="{05FDA15F-6A4A-4120-8EC0-A946A3B0D1D1}">
          <x14:formula1>
            <xm:f>'Validation tables'!$AS$3:$AS$7</xm:f>
          </x14:formula1>
          <xm:sqref>B58 B60 B62 B64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5BCD4-0C8C-4364-BDA0-4A86E41634F2}">
  <sheetPr>
    <tabColor rgb="FFC26A31"/>
    <pageSetUpPr fitToPage="1"/>
  </sheetPr>
  <dimension ref="A1:G53"/>
  <sheetViews>
    <sheetView showGridLines="0" tabSelected="1" topLeftCell="A7" workbookViewId="0">
      <selection sqref="A1:G1"/>
    </sheetView>
  </sheetViews>
  <sheetFormatPr defaultColWidth="8.5" defaultRowHeight="14"/>
  <cols>
    <col min="1" max="1" width="45.5" customWidth="1"/>
    <col min="2" max="5" width="18.5" customWidth="1"/>
    <col min="7" max="7" width="30" bestFit="1" customWidth="1"/>
    <col min="8" max="8" width="12.19921875" customWidth="1"/>
  </cols>
  <sheetData>
    <row r="1" spans="1:7" ht="25.8">
      <c r="A1" s="217" t="s">
        <v>258</v>
      </c>
      <c r="B1" s="217"/>
      <c r="C1" s="217"/>
      <c r="D1" s="217"/>
      <c r="E1" s="217"/>
      <c r="F1" s="217"/>
      <c r="G1" s="217"/>
    </row>
    <row r="2" spans="1:7" s="118" customFormat="1" ht="29.15" customHeight="1">
      <c r="A2" s="218" t="s">
        <v>259</v>
      </c>
      <c r="B2" s="218"/>
      <c r="C2" s="218"/>
      <c r="D2" s="218"/>
      <c r="E2" s="218"/>
      <c r="F2" s="218"/>
      <c r="G2" s="218"/>
    </row>
    <row r="3" spans="1:7" ht="18" customHeight="1">
      <c r="A3" s="191" t="str">
        <f ca="1">"Date: "&amp;TEXT(DAY(TODAY()),"00")&amp;"-"&amp;TEXT(MONTH(TODAY()),"00")&amp;"-"&amp;TEXT(YEAR(TODAY()),"0000")</f>
        <v>Date: 26-11-2024</v>
      </c>
    </row>
    <row r="4" spans="1:7" s="118" customFormat="1" ht="29.95" customHeight="1">
      <c r="A4" s="190" t="s">
        <v>26</v>
      </c>
      <c r="B4" s="192"/>
      <c r="C4" s="192"/>
      <c r="D4" s="192"/>
      <c r="E4" s="192"/>
      <c r="F4" s="192"/>
      <c r="G4" s="192"/>
    </row>
    <row r="5" spans="1:7">
      <c r="A5" s="119" t="s">
        <v>25</v>
      </c>
      <c r="B5" s="119" t="s">
        <v>24</v>
      </c>
      <c r="C5" s="219" t="s">
        <v>23</v>
      </c>
      <c r="D5" s="220"/>
      <c r="E5" s="220"/>
    </row>
    <row r="6" spans="1:7">
      <c r="A6" s="121" t="s">
        <v>22</v>
      </c>
      <c r="B6" s="122" t="str">
        <f>IF(ISBLANK('Farm plot info'!C3), "", 'Farm plot info'!C3)</f>
        <v/>
      </c>
      <c r="C6" s="215"/>
      <c r="D6" s="216"/>
      <c r="E6" s="216"/>
    </row>
    <row r="7" spans="1:7">
      <c r="A7" s="121" t="s">
        <v>21</v>
      </c>
      <c r="B7" s="123" t="str">
        <f>IF(ISBLANK('Farm plot info'!C4), "", 'Farm plot info'!C4)</f>
        <v/>
      </c>
      <c r="C7" s="215"/>
      <c r="D7" s="216"/>
      <c r="E7" s="216"/>
    </row>
    <row r="8" spans="1:7">
      <c r="A8" s="121" t="s">
        <v>20</v>
      </c>
      <c r="B8" s="122" t="str">
        <f>IF(ISBLANK('Farm plot info'!C5), "", 'Farm plot info'!C5)</f>
        <v/>
      </c>
      <c r="C8" s="215"/>
      <c r="D8" s="216"/>
      <c r="E8" s="216"/>
    </row>
    <row r="9" spans="1:7">
      <c r="A9" s="121" t="s">
        <v>19</v>
      </c>
      <c r="B9" s="122" t="str">
        <f>IF(ISBLANK('Farm plot info'!C6), "", 'Farm plot info'!C6)</f>
        <v>Burundi</v>
      </c>
      <c r="C9" s="215"/>
      <c r="D9" s="216"/>
      <c r="E9" s="216"/>
    </row>
    <row r="10" spans="1:7">
      <c r="A10" s="121" t="s">
        <v>18</v>
      </c>
      <c r="B10" s="122" t="str">
        <f>IF(ISBLANK('Farm plot info'!C7), "", 'Farm plot info'!C7)</f>
        <v>Birr</v>
      </c>
      <c r="C10" s="215"/>
      <c r="D10" s="216"/>
      <c r="E10" s="216"/>
    </row>
    <row r="11" spans="1:7">
      <c r="A11" s="121"/>
      <c r="B11" s="122" t="str">
        <f>IF(ISBLANK('Farm plot info'!C8), "", 'Farm plot info'!C8)</f>
        <v/>
      </c>
      <c r="C11" s="215"/>
      <c r="D11" s="216"/>
      <c r="E11" s="216"/>
    </row>
    <row r="12" spans="1:7">
      <c r="A12" s="121" t="s">
        <v>17</v>
      </c>
      <c r="B12" s="122" t="str">
        <f>IF(ISBLANK('Farm plot info'!C9), "", 'Farm plot info'!C9)</f>
        <v/>
      </c>
      <c r="C12" s="215"/>
      <c r="D12" s="216"/>
      <c r="E12" s="216"/>
    </row>
    <row r="13" spans="1:7">
      <c r="A13" s="124" t="s">
        <v>207</v>
      </c>
      <c r="B13" s="122">
        <f>PlotSizeHa</f>
        <v>5</v>
      </c>
      <c r="C13" s="215"/>
      <c r="D13" s="216"/>
      <c r="E13" s="216"/>
    </row>
    <row r="14" spans="1:7">
      <c r="A14" s="121" t="s">
        <v>16</v>
      </c>
      <c r="B14" s="122" t="str">
        <f>IF(ISBLANK('Farm plot info'!C13), "", 'Farm plot info'!C13)</f>
        <v>Bread grass early vegetative</v>
      </c>
      <c r="C14" s="193"/>
      <c r="D14" s="194"/>
      <c r="E14" s="194"/>
    </row>
    <row r="15" spans="1:7">
      <c r="A15" s="121" t="s">
        <v>260</v>
      </c>
      <c r="B15" s="122" t="str">
        <f>IF(ISBLANK('Farm plot info'!C14), "", 'Farm plot info'!C14)</f>
        <v>Annual</v>
      </c>
      <c r="C15" s="215"/>
      <c r="D15" s="216"/>
      <c r="E15" s="216"/>
    </row>
    <row r="16" spans="1:7">
      <c r="A16" s="121" t="s">
        <v>14</v>
      </c>
      <c r="B16" s="122">
        <f>IF(ISBLANK('Farm plot info'!C15), "", 'Farm plot info'!C15)</f>
        <v>1</v>
      </c>
      <c r="C16" s="215"/>
      <c r="D16" s="216"/>
      <c r="E16" s="216"/>
    </row>
    <row r="17" spans="1:5">
      <c r="A17" s="124" t="s">
        <v>48</v>
      </c>
      <c r="B17" s="122">
        <f>IF(ISBLANK('Farm plot info'!C18), "", 'Farm plot info'!C18)</f>
        <v>1000</v>
      </c>
      <c r="C17" s="215"/>
      <c r="D17" s="216"/>
      <c r="E17" s="216"/>
    </row>
    <row r="18" spans="1:5" ht="18.55" customHeight="1">
      <c r="A18" s="195"/>
      <c r="B18" s="118"/>
      <c r="C18" s="118"/>
    </row>
    <row r="19" spans="1:5" ht="18.55" customHeight="1">
      <c r="A19" s="190" t="s">
        <v>261</v>
      </c>
      <c r="B19" s="118"/>
      <c r="C19" s="118"/>
    </row>
    <row r="20" spans="1:5" ht="15.45" customHeight="1">
      <c r="A20" s="190"/>
      <c r="B20" s="118"/>
      <c r="C20" s="118"/>
    </row>
    <row r="21" spans="1:5">
      <c r="A21" s="119"/>
      <c r="B21" s="221" t="str">
        <f>'Farm plot info'!C7</f>
        <v>Birr</v>
      </c>
      <c r="C21" s="222"/>
      <c r="D21" s="221" t="s">
        <v>262</v>
      </c>
      <c r="E21" s="222"/>
    </row>
    <row r="22" spans="1:5">
      <c r="A22" s="119"/>
      <c r="B22" s="196" t="s">
        <v>225</v>
      </c>
      <c r="C22" s="196" t="s">
        <v>263</v>
      </c>
      <c r="D22" s="196" t="s">
        <v>264</v>
      </c>
      <c r="E22" s="196" t="s">
        <v>244</v>
      </c>
    </row>
    <row r="23" spans="1:5">
      <c r="A23" s="121" t="s">
        <v>265</v>
      </c>
      <c r="B23" s="121">
        <f>LandTenureCost</f>
        <v>1000</v>
      </c>
      <c r="C23" s="121"/>
      <c r="D23" s="121"/>
      <c r="E23" s="121"/>
    </row>
    <row r="24" spans="1:5">
      <c r="A24" s="121" t="s">
        <v>224</v>
      </c>
      <c r="B24" s="121">
        <f>SUM('Pre-planting costs'!$D$3,'Pre-planting costs'!$D$8,'Pre-planting costs'!$D$15,'Pre-planting costs'!$D$23)</f>
        <v>100</v>
      </c>
      <c r="C24" s="121">
        <f>IF(SUM(PrePlantingActivitiesCosts) &lt;&gt; 0,SUM(PrePlantingActivitiesCosts)," ")</f>
        <v>500</v>
      </c>
      <c r="D24" s="121"/>
      <c r="E24" s="121"/>
    </row>
    <row r="25" spans="1:5">
      <c r="A25" s="121" t="s">
        <v>266</v>
      </c>
      <c r="B25" s="121">
        <f>IF(CALCULATIONS!E$66 &lt;&gt; 0,CALCULATIONS!E$66, " ")</f>
        <v>235</v>
      </c>
      <c r="C25" s="121">
        <f>IF(CALCULATIONS!C66 &lt;&gt; 0,CALCULATIONS!C66, " ")</f>
        <v>375</v>
      </c>
      <c r="D25" s="121" t="str">
        <f>IF(FirstCuttingYieldType = "Kg of hay",FirstCuttingYieldValue, "")</f>
        <v/>
      </c>
      <c r="E25" s="121">
        <f>IF(FirstCuttingYieldType = "Kg of silage",FirstCuttingYieldValue, "")</f>
        <v>600</v>
      </c>
    </row>
    <row r="26" spans="1:5">
      <c r="A26" s="121" t="s">
        <v>267</v>
      </c>
      <c r="B26" s="121">
        <f>IF(CALCULATIONS!G$66 &lt;&gt; 0,CALCULATIONS!G$66, " ")</f>
        <v>75</v>
      </c>
      <c r="C26" s="121" t="str">
        <f>IF(CALCULATIONS!F$66 &lt;&gt; 0,CALCULATIONS!F$66, " ")</f>
        <v xml:space="preserve"> </v>
      </c>
      <c r="D26" s="121">
        <f>IF('Growing &amp; harvesting'!$E4 = "Kg of hay",'Growing &amp; harvesting'!$F4, "")</f>
        <v>500</v>
      </c>
      <c r="E26" s="121" t="str">
        <f>IF('Growing &amp; harvesting'!$E4 = "Kg of silage",'Growing &amp; harvesting'!$F4, "")</f>
        <v/>
      </c>
    </row>
    <row r="27" spans="1:5">
      <c r="A27" s="121" t="s">
        <v>268</v>
      </c>
      <c r="B27" s="121" t="str">
        <f>IF(CALCULATIONS!I$66 &lt;&gt; 0,CALCULATIONS!I$66, " ")</f>
        <v xml:space="preserve"> </v>
      </c>
      <c r="C27" s="121" t="str">
        <f>IF(CALCULATIONS!H$66 &lt;&gt; 0,CALCULATIONS!H$66, " ")</f>
        <v xml:space="preserve"> </v>
      </c>
      <c r="D27" s="121" t="str">
        <f>IF('Growing &amp; harvesting'!$G5 = "Kg of hay",'Growing &amp; harvesting'!$H5, "")</f>
        <v/>
      </c>
      <c r="E27" s="121" t="str">
        <f>IF('Growing &amp; harvesting'!$G5 = "Kg of silage",'Growing &amp; harvesting'!$H5, "")</f>
        <v/>
      </c>
    </row>
    <row r="28" spans="1:5">
      <c r="A28" s="121" t="s">
        <v>269</v>
      </c>
      <c r="B28" s="121" t="str">
        <f>IF(CALCULATIONS!K$66 &lt;&gt; 0,CALCULATIONS!K$66, " ")</f>
        <v xml:space="preserve"> </v>
      </c>
      <c r="C28" s="121" t="str">
        <f>IF(CALCULATIONS!J$66 &lt;&gt; 0,CALCULATIONS!J$66, " ")</f>
        <v xml:space="preserve"> </v>
      </c>
      <c r="D28" s="121" t="str">
        <f>IF('Growing &amp; harvesting'!$I6 = "Kg of hay",'Growing &amp; harvesting'!$J6, "")</f>
        <v/>
      </c>
      <c r="E28" s="121" t="str">
        <f>IF('Growing &amp; harvesting'!$I6 = "Kg of silage",'Growing &amp; harvesting'!$J6, "")</f>
        <v/>
      </c>
    </row>
    <row r="29" spans="1:5">
      <c r="A29" s="121" t="s">
        <v>270</v>
      </c>
      <c r="B29" s="121" t="str">
        <f>IF(CALCULATIONS!M$66 &lt;&gt; 0,CALCULATIONS!M$66, " ")</f>
        <v xml:space="preserve"> </v>
      </c>
      <c r="C29" s="121" t="str">
        <f>IF(CALCULATIONS!L$66 &lt;&gt; 0,CALCULATIONS!L$66, " ")</f>
        <v xml:space="preserve"> </v>
      </c>
      <c r="D29" s="121" t="str">
        <f>IF('Growing &amp; harvesting'!$K7 = "Kg of hay",'Growing &amp; harvesting'!$L7, "")</f>
        <v/>
      </c>
      <c r="E29" s="121" t="str">
        <f>IF('Growing &amp; harvesting'!$K7 = "Kg of silage",'Growing &amp; harvesting'!$L7, "")</f>
        <v/>
      </c>
    </row>
    <row r="30" spans="1:5">
      <c r="A30" s="121" t="s">
        <v>271</v>
      </c>
      <c r="B30" s="121" t="str">
        <f>IF(CALCULATIONS!O$66 &lt;&gt; 0,CALCULATIONS!O$66, " ")</f>
        <v xml:space="preserve"> </v>
      </c>
      <c r="C30" s="121" t="str">
        <f>IF(CALCULATIONS!N$66 &lt;&gt; 0,CALCULATIONS!N$66, " ")</f>
        <v xml:space="preserve"> </v>
      </c>
      <c r="D30" s="121" t="str">
        <f>IF('Growing &amp; harvesting'!$M8 = "Kg of hay",'Growing &amp; harvesting'!$N8, "")</f>
        <v/>
      </c>
      <c r="E30" s="121" t="str">
        <f>IF('Growing &amp; harvesting'!$M8 = "Kg of silage",'Growing &amp; harvesting'!$N8, "")</f>
        <v/>
      </c>
    </row>
    <row r="31" spans="1:5">
      <c r="A31" s="121" t="s">
        <v>272</v>
      </c>
      <c r="B31" s="121" t="str">
        <f>IF(CALCULATIONS!Q$66 &lt;&gt; 0,CALCULATIONS!Q$66, " ")</f>
        <v xml:space="preserve"> </v>
      </c>
      <c r="C31" s="121" t="str">
        <f>IF(CALCULATIONS!P$66 &lt;&gt; 0,CALCULATIONS!P$66, " ")</f>
        <v xml:space="preserve"> </v>
      </c>
      <c r="D31" s="121" t="str">
        <f>IF('Growing &amp; harvesting'!$O9 = "Kg of hay",'Growing &amp; harvesting'!$P9, "")</f>
        <v/>
      </c>
      <c r="E31" s="121" t="str">
        <f>IF('Growing &amp; harvesting'!$O9 = "Kg of silage",'Growing &amp; harvesting'!$P9, "")</f>
        <v/>
      </c>
    </row>
    <row r="32" spans="1:5">
      <c r="A32" s="121" t="s">
        <v>273</v>
      </c>
      <c r="B32" s="121" t="str">
        <f>IF(CALCULATIONS!S$66 &lt;&gt; 0,CALCULATIONS!S$66, " ")</f>
        <v xml:space="preserve"> </v>
      </c>
      <c r="C32" s="121" t="str">
        <f>IF(CALCULATIONS!R$66 &lt;&gt; 0,CALCULATIONS!R$66, " ")</f>
        <v xml:space="preserve"> </v>
      </c>
      <c r="D32" s="121" t="str">
        <f>IF('Growing &amp; harvesting'!$Q10 = "Kg of hay",'Growing &amp; harvesting'!$R10, "")</f>
        <v/>
      </c>
      <c r="E32" s="121" t="str">
        <f>IF('Growing &amp; harvesting'!$Q10 = "Kg of silage",'Growing &amp; harvesting'!$R10, "")</f>
        <v/>
      </c>
    </row>
    <row r="33" spans="1:5">
      <c r="A33" s="121"/>
      <c r="B33" s="121"/>
      <c r="C33" s="121"/>
      <c r="D33" s="121"/>
      <c r="E33" s="121"/>
    </row>
    <row r="34" spans="1:5">
      <c r="A34" s="197" t="s">
        <v>274</v>
      </c>
      <c r="B34" s="197">
        <f>SUM(B23:B33)</f>
        <v>1410</v>
      </c>
      <c r="C34" s="197">
        <f t="shared" ref="C34:E34" si="0">SUM(C23:C33)</f>
        <v>875</v>
      </c>
      <c r="D34" s="197">
        <f t="shared" si="0"/>
        <v>500</v>
      </c>
      <c r="E34" s="197">
        <f t="shared" si="0"/>
        <v>600</v>
      </c>
    </row>
    <row r="35" spans="1:5" ht="10.5" customHeight="1">
      <c r="A35" s="197"/>
      <c r="B35" s="197"/>
      <c r="C35" s="197"/>
      <c r="D35" s="197"/>
      <c r="E35" s="197"/>
    </row>
    <row r="36" spans="1:5" ht="17.5" customHeight="1">
      <c r="A36" s="121" t="s">
        <v>320</v>
      </c>
      <c r="B36" s="197"/>
      <c r="C36" s="197"/>
      <c r="D36" s="198">
        <f>IF(ISNUMBER('Farm plot info'!$C10),D$34/'Farm plot info'!$C10,"")</f>
        <v>100</v>
      </c>
      <c r="E36" s="198">
        <f>IF(ISNUMBER('Farm plot info'!$C10),E$34/'Farm plot info'!$C10,"")</f>
        <v>120</v>
      </c>
    </row>
    <row r="37" spans="1:5" ht="17.5" customHeight="1">
      <c r="A37" s="121" t="s">
        <v>455</v>
      </c>
      <c r="B37" s="197"/>
      <c r="C37" s="197"/>
      <c r="D37" s="198">
        <f>IF(ISNUMBER('Farm plot info'!$C11),D$34/'Farm plot info'!$C11,"")</f>
        <v>40.468564300507886</v>
      </c>
      <c r="E37" s="198">
        <f>IF(ISNUMBER('Farm plot info'!$C11),E$34/'Farm plot info'!$C11,"")</f>
        <v>48.562277160609462</v>
      </c>
    </row>
    <row r="38" spans="1:5" ht="17.100000000000001" customHeight="1">
      <c r="A38" s="195"/>
      <c r="B38" s="118"/>
      <c r="C38" s="118"/>
    </row>
    <row r="39" spans="1:5" ht="22.6" customHeight="1">
      <c r="A39" s="190" t="s">
        <v>275</v>
      </c>
      <c r="B39" s="118"/>
      <c r="C39" s="118"/>
    </row>
    <row r="40" spans="1:5" ht="15.05" customHeight="1">
      <c r="A40" s="119" t="s">
        <v>25</v>
      </c>
      <c r="B40" s="119" t="s">
        <v>24</v>
      </c>
      <c r="C40" s="119"/>
      <c r="D40" s="196" t="s">
        <v>264</v>
      </c>
      <c r="E40" s="196" t="s">
        <v>244</v>
      </c>
    </row>
    <row r="41" spans="1:5">
      <c r="A41" s="121" t="s">
        <v>276</v>
      </c>
      <c r="B41" s="199"/>
      <c r="C41" s="199"/>
      <c r="D41" s="199">
        <f>IF(D34&gt;0,(B34+C34)/(D34*(VLOOKUP('Farm plot info'!C13,'Feed library'!D2:K25,3,FALSE)/1000)),"")</f>
        <v>20.221238938053098</v>
      </c>
      <c r="E41" s="199">
        <f>IF(E34&gt;0,(B34+C34)/(E34*(VLOOKUP('Farm plot info'!C13,'Feed library'!D2:K25,3,FALSE)/1000)),"")</f>
        <v>16.85103244837758</v>
      </c>
    </row>
    <row r="42" spans="1:5">
      <c r="A42" s="121" t="s">
        <v>277</v>
      </c>
      <c r="B42" s="199"/>
      <c r="C42" s="199"/>
      <c r="D42" s="199">
        <f>IF(ISNUMBER(D41),D41/VLOOKUP('Farm plot info'!C13,'Feed library'!D2:K25,7,FALSE),"")</f>
        <v>2.2720493188823703</v>
      </c>
      <c r="E42" s="199">
        <f>IF(ISNUMBER(E41),E41/VLOOKUP('Farm plot info'!C13,'Feed library'!D2:K25,7,FALSE),"")</f>
        <v>1.8933744324019752</v>
      </c>
    </row>
    <row r="43" spans="1:5">
      <c r="A43" s="121" t="s">
        <v>278</v>
      </c>
      <c r="B43" s="199"/>
      <c r="C43" s="199"/>
      <c r="D43" s="199">
        <f>IF(ISNUMBER(D41),D41/(VLOOKUP('Farm plot info'!C13,'Feed library'!D2:K25,5,FALSE)/1000),"")</f>
        <v>155.54799183117768</v>
      </c>
      <c r="E43" s="199">
        <f>IF(ISNUMBER(E41),E41/(VLOOKUP('Farm plot info'!C13,'Feed library'!D2:K25,5,FALSE)/1000),"")</f>
        <v>129.62332652598138</v>
      </c>
    </row>
    <row r="44" spans="1:5">
      <c r="A44" s="121" t="s">
        <v>230</v>
      </c>
      <c r="B44" s="199">
        <f>IFERROR(SUM(130/((VLOOKUP('Farm plot info'!C13,'Feed library'!D2:L25,8,FALSE))/10)),"")</f>
        <v>2.1416803953871497</v>
      </c>
      <c r="C44" s="199"/>
      <c r="D44" s="199"/>
      <c r="E44" s="199"/>
    </row>
    <row r="45" spans="1:5">
      <c r="A45" s="121" t="s">
        <v>297</v>
      </c>
      <c r="B45" s="199"/>
      <c r="C45" s="199"/>
      <c r="D45" s="199">
        <f>IF(D34&gt;0,($B34+$C34)/D34,"")</f>
        <v>4.57</v>
      </c>
      <c r="E45" s="199">
        <f>IF(E34&gt;0,($B34+$C34)/E34,"")</f>
        <v>3.8083333333333331</v>
      </c>
    </row>
    <row r="46" spans="1:5">
      <c r="A46" s="121"/>
      <c r="B46" s="199"/>
    </row>
    <row r="47" spans="1:5">
      <c r="A47" s="121" t="s">
        <v>452</v>
      </c>
      <c r="B47" s="199">
        <f>CALCULATIONS!C69</f>
        <v>1285</v>
      </c>
    </row>
    <row r="48" spans="1:5">
      <c r="A48" s="121" t="s">
        <v>319</v>
      </c>
      <c r="B48" s="199">
        <f>B47*(1+'Farm plot info'!C16)*(1+'Farm plot info'!C17)</f>
        <v>1376.2350000000001</v>
      </c>
    </row>
    <row r="49" spans="1:2">
      <c r="A49" s="121" t="s">
        <v>279</v>
      </c>
      <c r="B49" s="199">
        <f>IFERROR((B48/'Farm plot info'!C11),0)</f>
        <v>111.38850918021895</v>
      </c>
    </row>
    <row r="50" spans="1:2">
      <c r="A50" s="121" t="s">
        <v>280</v>
      </c>
      <c r="B50" s="199">
        <f>IFERROR((B48/PlotSizeHa),0)</f>
        <v>275.24700000000001</v>
      </c>
    </row>
    <row r="51" spans="1:2">
      <c r="A51" s="121" t="s">
        <v>453</v>
      </c>
      <c r="B51" s="199">
        <f>B34</f>
        <v>1410</v>
      </c>
    </row>
    <row r="52" spans="1:2">
      <c r="A52" s="121" t="s">
        <v>454</v>
      </c>
      <c r="B52" s="199">
        <f>CALCULATIONS!C70</f>
        <v>875</v>
      </c>
    </row>
    <row r="53" spans="1:2">
      <c r="A53" s="121"/>
      <c r="B53" s="200"/>
    </row>
  </sheetData>
  <sheetProtection algorithmName="SHA-512" hashValue="db9L+Rz8lo6fK0/m2nvctsF83ZYayFXnEZVdErh37c95ZfYik+L0E+onzyu20FsbuLAgN4k5a8dzpmRHHKsrcA==" saltValue="U8SbZGY7eDo9vKccSmpfFQ==" spinCount="100000" sheet="1" objects="1" scenarios="1" selectLockedCells="1"/>
  <protectedRanges>
    <protectedRange sqref="B34:E35 B36:C39 C40 B6:C33" name="UserData"/>
  </protectedRanges>
  <mergeCells count="16">
    <mergeCell ref="C15:E15"/>
    <mergeCell ref="C16:E16"/>
    <mergeCell ref="C17:E17"/>
    <mergeCell ref="B21:C21"/>
    <mergeCell ref="D21:E21"/>
    <mergeCell ref="A1:G1"/>
    <mergeCell ref="A2:G2"/>
    <mergeCell ref="C5:E5"/>
    <mergeCell ref="C6:E6"/>
    <mergeCell ref="C7:E7"/>
    <mergeCell ref="C13:E13"/>
    <mergeCell ref="C8:E8"/>
    <mergeCell ref="C9:E9"/>
    <mergeCell ref="C10:E10"/>
    <mergeCell ref="C11:E11"/>
    <mergeCell ref="C12:E12"/>
  </mergeCells>
  <pageMargins left="0.7" right="0.7" top="0.75" bottom="0.75" header="0.3" footer="0.3"/>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F51E2-B251-4A8C-9532-46B74BBA6F78}">
  <sheetPr>
    <tabColor rgb="FF077395"/>
  </sheetPr>
  <dimension ref="A1:F4"/>
  <sheetViews>
    <sheetView showGridLines="0" workbookViewId="0">
      <selection activeCell="D3" sqref="D3"/>
    </sheetView>
  </sheetViews>
  <sheetFormatPr defaultColWidth="8.796875" defaultRowHeight="14"/>
  <cols>
    <col min="1" max="4" width="25.5" customWidth="1"/>
    <col min="5" max="5" width="3.5" customWidth="1"/>
  </cols>
  <sheetData>
    <row r="1" spans="1:6">
      <c r="A1" s="223" t="s">
        <v>244</v>
      </c>
      <c r="B1" s="223"/>
      <c r="C1" s="223"/>
      <c r="D1" s="223"/>
    </row>
    <row r="2" spans="1:6" ht="24.45" customHeight="1">
      <c r="A2" s="224" t="s">
        <v>318</v>
      </c>
      <c r="B2" s="225"/>
      <c r="C2" s="187" t="s">
        <v>245</v>
      </c>
      <c r="D2" s="188">
        <v>0</v>
      </c>
      <c r="F2" s="118"/>
    </row>
    <row r="3" spans="1:6">
      <c r="A3" s="226" t="s">
        <v>246</v>
      </c>
      <c r="B3" s="227"/>
      <c r="C3" s="187"/>
      <c r="D3" s="188" t="s">
        <v>13</v>
      </c>
    </row>
    <row r="4" spans="1:6" ht="15.75" customHeight="1">
      <c r="A4" s="228" t="s">
        <v>247</v>
      </c>
      <c r="B4" s="229"/>
      <c r="C4" s="187" t="s">
        <v>248</v>
      </c>
      <c r="D4" s="189">
        <f>IF(D3="By people (low compaction)", D2*200, IF(D3="By barrels (low compaction)", D2*200, IF(D3="By tractor (good compaction)", D2*245, 0)))</f>
        <v>0</v>
      </c>
    </row>
  </sheetData>
  <sheetProtection algorithmName="SHA-512" hashValue="o7ZoU+VFBQM8byMmBNkWt/6nkPHPI4vVzj6cpzyV7wlE1aaBGa0hscigtSQvcEDbiUzpIkxUZiOgKKXoLLgR9w==" saltValue="D0FCgY2QFfE7fMKlImgmXg==" spinCount="100000" sheet="1" selectLockedCells="1" sort="0" autoFilter="0"/>
  <protectedRanges>
    <protectedRange sqref="D2:D4" name="Range1"/>
  </protectedRanges>
  <mergeCells count="4">
    <mergeCell ref="A1:D1"/>
    <mergeCell ref="A2:B2"/>
    <mergeCell ref="A3:B3"/>
    <mergeCell ref="A4:B4"/>
  </mergeCells>
  <conditionalFormatting sqref="D2 D4">
    <cfRule type="cellIs" dxfId="23" priority="1" operator="equal">
      <formula>0</formula>
    </cfRule>
  </conditionalFormatting>
  <conditionalFormatting sqref="D3">
    <cfRule type="cellIs" dxfId="22" priority="2" operator="equal">
      <formula>"--Select--"</formula>
    </cfRule>
  </conditionalFormatting>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2767BB3-9E05-4449-8D07-3EEA8AE3C4F8}">
          <x14:formula1>
            <xm:f>'Validation tables'!$AV$11:$AV$14</xm:f>
          </x14:formula1>
          <xm:sqref>D3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597F3-8092-406E-8479-B5AF50493866}">
  <sheetPr>
    <tabColor rgb="FFC49562"/>
  </sheetPr>
  <dimension ref="D1:O144"/>
  <sheetViews>
    <sheetView showGridLines="0" topLeftCell="D1" workbookViewId="0">
      <selection activeCell="L48" sqref="L48:L144"/>
    </sheetView>
  </sheetViews>
  <sheetFormatPr defaultColWidth="8.796875" defaultRowHeight="14"/>
  <cols>
    <col min="1" max="3" width="0" hidden="1" customWidth="1"/>
    <col min="4" max="4" width="27.5" bestFit="1" customWidth="1"/>
    <col min="5" max="5" width="18.5" customWidth="1"/>
    <col min="6" max="11" width="16.5" customWidth="1"/>
    <col min="12" max="12" width="10.5" style="102" customWidth="1"/>
    <col min="13" max="13" width="22.19921875" bestFit="1" customWidth="1"/>
    <col min="14" max="14" width="16" bestFit="1" customWidth="1"/>
  </cols>
  <sheetData>
    <row r="1" spans="4:15">
      <c r="E1" s="230" t="s">
        <v>249</v>
      </c>
      <c r="F1" s="230"/>
      <c r="G1" s="231" t="s">
        <v>250</v>
      </c>
      <c r="H1" s="231"/>
      <c r="I1" s="232" t="s">
        <v>251</v>
      </c>
      <c r="J1" s="232"/>
      <c r="K1" s="68" t="s">
        <v>252</v>
      </c>
    </row>
    <row r="2" spans="4:15" ht="15.6">
      <c r="D2" s="69" t="s">
        <v>253</v>
      </c>
      <c r="E2" s="69" t="s">
        <v>254</v>
      </c>
      <c r="F2" s="69" t="s">
        <v>255</v>
      </c>
      <c r="G2" s="69" t="s">
        <v>254</v>
      </c>
      <c r="H2" s="69" t="s">
        <v>256</v>
      </c>
      <c r="I2" s="69" t="s">
        <v>254</v>
      </c>
      <c r="J2" s="69" t="s">
        <v>257</v>
      </c>
      <c r="K2" s="69" t="s">
        <v>254</v>
      </c>
      <c r="L2" s="103" t="s">
        <v>257</v>
      </c>
      <c r="O2" s="70"/>
    </row>
    <row r="3" spans="4:15" ht="15.6">
      <c r="D3" s="111" t="s">
        <v>323</v>
      </c>
      <c r="E3" s="109"/>
      <c r="F3" s="69"/>
      <c r="G3" s="109"/>
      <c r="H3" s="69"/>
      <c r="I3" s="109"/>
      <c r="J3" s="69"/>
      <c r="K3" s="109"/>
      <c r="L3" s="110"/>
      <c r="O3" s="70"/>
    </row>
    <row r="4" spans="4:15" ht="15.6">
      <c r="D4" t="s">
        <v>325</v>
      </c>
      <c r="E4">
        <v>227</v>
      </c>
      <c r="F4" s="71">
        <f>E4</f>
        <v>227</v>
      </c>
      <c r="G4">
        <v>99</v>
      </c>
      <c r="H4" s="71">
        <f>G4</f>
        <v>99</v>
      </c>
      <c r="I4">
        <v>9</v>
      </c>
      <c r="J4" s="71">
        <f>I4</f>
        <v>9</v>
      </c>
      <c r="K4">
        <v>645</v>
      </c>
      <c r="L4" s="102">
        <f>K4</f>
        <v>645</v>
      </c>
    </row>
    <row r="5" spans="4:15" ht="15.6">
      <c r="D5" t="s">
        <v>326</v>
      </c>
      <c r="E5">
        <v>389</v>
      </c>
      <c r="F5" s="71">
        <f t="shared" ref="F5:F68" si="0">E5</f>
        <v>389</v>
      </c>
      <c r="G5">
        <v>54</v>
      </c>
      <c r="H5" s="71">
        <f t="shared" ref="H5:H68" si="1">G5</f>
        <v>54</v>
      </c>
      <c r="I5">
        <v>7.5</v>
      </c>
      <c r="J5" s="71">
        <f t="shared" ref="J5:J68" si="2">I5</f>
        <v>7.5</v>
      </c>
      <c r="K5">
        <v>737</v>
      </c>
      <c r="L5" s="102">
        <f t="shared" ref="L5:L68" si="3">K5</f>
        <v>737</v>
      </c>
    </row>
    <row r="6" spans="4:15" ht="15.6">
      <c r="D6" t="s">
        <v>327</v>
      </c>
      <c r="E6">
        <v>900</v>
      </c>
      <c r="F6" s="71">
        <f t="shared" si="0"/>
        <v>900</v>
      </c>
      <c r="G6">
        <v>90</v>
      </c>
      <c r="H6" s="71">
        <f t="shared" si="1"/>
        <v>90</v>
      </c>
      <c r="I6">
        <v>8.1</v>
      </c>
      <c r="J6" s="71">
        <f t="shared" si="2"/>
        <v>8.1</v>
      </c>
      <c r="K6">
        <v>691</v>
      </c>
      <c r="L6" s="102">
        <f t="shared" si="3"/>
        <v>691</v>
      </c>
    </row>
    <row r="7" spans="4:15" ht="15.6">
      <c r="D7" t="s">
        <v>328</v>
      </c>
      <c r="E7">
        <v>345</v>
      </c>
      <c r="F7" s="71">
        <f t="shared" si="0"/>
        <v>345</v>
      </c>
      <c r="G7">
        <v>72</v>
      </c>
      <c r="H7" s="71">
        <f t="shared" si="1"/>
        <v>72</v>
      </c>
      <c r="I7">
        <v>7.8</v>
      </c>
      <c r="J7" s="71">
        <f t="shared" si="2"/>
        <v>7.8</v>
      </c>
      <c r="K7">
        <v>714</v>
      </c>
      <c r="L7" s="102">
        <f t="shared" si="3"/>
        <v>714</v>
      </c>
    </row>
    <row r="8" spans="4:15" ht="15.6">
      <c r="D8" t="s">
        <v>329</v>
      </c>
      <c r="E8">
        <v>301</v>
      </c>
      <c r="F8" s="71">
        <f t="shared" si="0"/>
        <v>301</v>
      </c>
      <c r="G8">
        <v>89</v>
      </c>
      <c r="H8" s="71">
        <f t="shared" si="1"/>
        <v>89</v>
      </c>
      <c r="I8">
        <v>8.1999999999999993</v>
      </c>
      <c r="J8" s="71">
        <f t="shared" si="2"/>
        <v>8.1999999999999993</v>
      </c>
      <c r="K8">
        <v>691</v>
      </c>
      <c r="L8" s="102">
        <f t="shared" si="3"/>
        <v>691</v>
      </c>
    </row>
    <row r="9" spans="4:15" ht="15.6">
      <c r="D9" t="s">
        <v>330</v>
      </c>
      <c r="E9">
        <v>226</v>
      </c>
      <c r="F9" s="71">
        <f t="shared" si="0"/>
        <v>226</v>
      </c>
      <c r="G9">
        <v>130</v>
      </c>
      <c r="H9" s="71">
        <f t="shared" si="1"/>
        <v>130</v>
      </c>
      <c r="I9">
        <v>8.9</v>
      </c>
      <c r="J9" s="71">
        <f t="shared" si="2"/>
        <v>8.9</v>
      </c>
      <c r="K9">
        <v>607</v>
      </c>
      <c r="L9" s="102">
        <f t="shared" si="3"/>
        <v>607</v>
      </c>
    </row>
    <row r="10" spans="4:15" ht="15.6">
      <c r="D10" t="s">
        <v>331</v>
      </c>
      <c r="E10">
        <v>417</v>
      </c>
      <c r="F10" s="71">
        <f t="shared" si="0"/>
        <v>417</v>
      </c>
      <c r="G10">
        <v>74</v>
      </c>
      <c r="H10" s="71">
        <f t="shared" si="1"/>
        <v>74</v>
      </c>
      <c r="I10">
        <v>7.3</v>
      </c>
      <c r="J10" s="71">
        <f t="shared" si="2"/>
        <v>7.3</v>
      </c>
      <c r="K10">
        <v>752</v>
      </c>
      <c r="L10" s="102">
        <f t="shared" si="3"/>
        <v>752</v>
      </c>
    </row>
    <row r="11" spans="4:15" ht="15.6">
      <c r="D11" t="s">
        <v>332</v>
      </c>
      <c r="E11">
        <v>357</v>
      </c>
      <c r="F11" s="71">
        <f t="shared" si="0"/>
        <v>357</v>
      </c>
      <c r="G11">
        <v>103</v>
      </c>
      <c r="H11" s="71">
        <f t="shared" si="1"/>
        <v>103</v>
      </c>
      <c r="I11">
        <v>7.8</v>
      </c>
      <c r="J11" s="71">
        <f t="shared" si="2"/>
        <v>7.8</v>
      </c>
      <c r="K11">
        <v>710</v>
      </c>
      <c r="L11" s="102">
        <f t="shared" si="3"/>
        <v>710</v>
      </c>
    </row>
    <row r="12" spans="4:15" ht="15.6">
      <c r="D12" t="s">
        <v>333</v>
      </c>
      <c r="E12">
        <v>296</v>
      </c>
      <c r="F12" s="71">
        <f t="shared" si="0"/>
        <v>296</v>
      </c>
      <c r="G12">
        <v>132</v>
      </c>
      <c r="H12" s="71">
        <f t="shared" si="1"/>
        <v>132</v>
      </c>
      <c r="I12">
        <v>8</v>
      </c>
      <c r="J12" s="71">
        <f t="shared" si="2"/>
        <v>8</v>
      </c>
      <c r="K12">
        <v>668</v>
      </c>
      <c r="L12" s="102">
        <f t="shared" si="3"/>
        <v>668</v>
      </c>
    </row>
    <row r="13" spans="4:15" ht="15.6">
      <c r="D13" t="s">
        <v>334</v>
      </c>
      <c r="E13">
        <v>204</v>
      </c>
      <c r="F13" s="71">
        <f t="shared" si="0"/>
        <v>204</v>
      </c>
      <c r="G13">
        <v>98</v>
      </c>
      <c r="H13" s="71">
        <f t="shared" si="1"/>
        <v>98</v>
      </c>
      <c r="I13">
        <v>7.7</v>
      </c>
      <c r="J13" s="71">
        <f t="shared" si="2"/>
        <v>7.7</v>
      </c>
      <c r="K13">
        <v>688</v>
      </c>
      <c r="L13" s="102">
        <f t="shared" si="3"/>
        <v>688</v>
      </c>
    </row>
    <row r="14" spans="4:15" ht="15.6">
      <c r="D14" t="s">
        <v>335</v>
      </c>
      <c r="E14">
        <v>214</v>
      </c>
      <c r="F14" s="71">
        <f t="shared" si="0"/>
        <v>214</v>
      </c>
      <c r="G14">
        <v>121</v>
      </c>
      <c r="H14" s="71">
        <f t="shared" si="1"/>
        <v>121</v>
      </c>
      <c r="I14">
        <v>8.8000000000000007</v>
      </c>
      <c r="J14" s="71">
        <f t="shared" si="2"/>
        <v>8.8000000000000007</v>
      </c>
      <c r="K14">
        <v>610</v>
      </c>
      <c r="L14" s="102">
        <f t="shared" si="3"/>
        <v>610</v>
      </c>
    </row>
    <row r="15" spans="4:15" ht="15.6">
      <c r="D15" t="s">
        <v>336</v>
      </c>
      <c r="E15">
        <v>425</v>
      </c>
      <c r="F15" s="71">
        <f t="shared" si="0"/>
        <v>425</v>
      </c>
      <c r="G15">
        <v>70</v>
      </c>
      <c r="H15" s="71">
        <f t="shared" si="1"/>
        <v>70</v>
      </c>
      <c r="I15">
        <v>7</v>
      </c>
      <c r="J15" s="71">
        <f t="shared" si="2"/>
        <v>7</v>
      </c>
      <c r="K15">
        <v>761</v>
      </c>
      <c r="L15" s="102">
        <f t="shared" si="3"/>
        <v>761</v>
      </c>
    </row>
    <row r="16" spans="4:15" ht="15.6">
      <c r="D16" t="s">
        <v>337</v>
      </c>
      <c r="E16">
        <v>340</v>
      </c>
      <c r="F16" s="71">
        <f t="shared" si="0"/>
        <v>340</v>
      </c>
      <c r="G16">
        <v>91</v>
      </c>
      <c r="H16" s="71">
        <f t="shared" si="1"/>
        <v>91</v>
      </c>
      <c r="I16">
        <v>7.6</v>
      </c>
      <c r="J16" s="71">
        <f t="shared" si="2"/>
        <v>7.6</v>
      </c>
      <c r="K16">
        <v>720</v>
      </c>
      <c r="L16" s="102">
        <f t="shared" si="3"/>
        <v>720</v>
      </c>
    </row>
    <row r="17" spans="4:12" ht="15.6">
      <c r="D17" t="s">
        <v>338</v>
      </c>
      <c r="E17">
        <v>275</v>
      </c>
      <c r="F17" s="71">
        <f t="shared" si="0"/>
        <v>275</v>
      </c>
      <c r="G17">
        <v>123</v>
      </c>
      <c r="H17" s="71">
        <f t="shared" si="1"/>
        <v>123</v>
      </c>
      <c r="I17">
        <v>8.1</v>
      </c>
      <c r="J17" s="71">
        <f t="shared" si="2"/>
        <v>8.1</v>
      </c>
      <c r="K17">
        <v>674</v>
      </c>
      <c r="L17" s="102">
        <f t="shared" si="3"/>
        <v>674</v>
      </c>
    </row>
    <row r="18" spans="4:12" ht="15.6">
      <c r="D18" t="s">
        <v>339</v>
      </c>
      <c r="E18">
        <v>230</v>
      </c>
      <c r="F18" s="71">
        <f t="shared" si="0"/>
        <v>230</v>
      </c>
      <c r="G18">
        <v>127</v>
      </c>
      <c r="H18" s="71">
        <f t="shared" si="1"/>
        <v>127</v>
      </c>
      <c r="I18">
        <v>9.5</v>
      </c>
      <c r="J18" s="71">
        <f t="shared" si="2"/>
        <v>9.5</v>
      </c>
      <c r="K18">
        <v>660</v>
      </c>
      <c r="L18" s="102">
        <f t="shared" si="3"/>
        <v>660</v>
      </c>
    </row>
    <row r="19" spans="4:12" ht="15.6">
      <c r="D19" t="s">
        <v>340</v>
      </c>
      <c r="E19">
        <v>909</v>
      </c>
      <c r="F19" s="71">
        <f t="shared" si="0"/>
        <v>909</v>
      </c>
      <c r="G19">
        <v>148</v>
      </c>
      <c r="H19" s="71">
        <f t="shared" si="1"/>
        <v>148</v>
      </c>
      <c r="I19">
        <v>9.9</v>
      </c>
      <c r="J19" s="71">
        <f t="shared" si="2"/>
        <v>9.9</v>
      </c>
      <c r="K19">
        <v>490</v>
      </c>
      <c r="L19" s="102">
        <f t="shared" si="3"/>
        <v>490</v>
      </c>
    </row>
    <row r="20" spans="4:12" ht="15.6">
      <c r="D20" t="s">
        <v>341</v>
      </c>
      <c r="E20">
        <v>203</v>
      </c>
      <c r="F20" s="71">
        <f t="shared" si="0"/>
        <v>203</v>
      </c>
      <c r="G20">
        <v>181</v>
      </c>
      <c r="H20" s="71">
        <f t="shared" si="1"/>
        <v>181</v>
      </c>
      <c r="I20">
        <v>9.8000000000000007</v>
      </c>
      <c r="J20" s="71">
        <f t="shared" si="2"/>
        <v>9.8000000000000007</v>
      </c>
      <c r="K20">
        <v>386</v>
      </c>
      <c r="L20" s="102">
        <f t="shared" si="3"/>
        <v>386</v>
      </c>
    </row>
    <row r="21" spans="4:12" ht="15.6">
      <c r="D21" t="s">
        <v>302</v>
      </c>
      <c r="E21">
        <v>263</v>
      </c>
      <c r="F21" s="71">
        <f t="shared" si="0"/>
        <v>263</v>
      </c>
      <c r="G21">
        <v>65</v>
      </c>
      <c r="H21" s="71">
        <f t="shared" si="1"/>
        <v>65</v>
      </c>
      <c r="I21">
        <v>7.8</v>
      </c>
      <c r="J21" s="71">
        <f t="shared" si="2"/>
        <v>7.8</v>
      </c>
      <c r="K21">
        <v>758</v>
      </c>
      <c r="L21" s="102">
        <f t="shared" si="3"/>
        <v>758</v>
      </c>
    </row>
    <row r="22" spans="4:12" ht="15.6">
      <c r="D22" t="s">
        <v>342</v>
      </c>
      <c r="E22">
        <v>930</v>
      </c>
      <c r="F22" s="71">
        <f t="shared" si="0"/>
        <v>930</v>
      </c>
      <c r="G22">
        <v>40</v>
      </c>
      <c r="H22" s="71">
        <f t="shared" si="1"/>
        <v>40</v>
      </c>
      <c r="I22">
        <v>6.6</v>
      </c>
      <c r="J22" s="71">
        <f t="shared" si="2"/>
        <v>6.6</v>
      </c>
      <c r="K22">
        <v>788</v>
      </c>
      <c r="L22" s="102">
        <f t="shared" si="3"/>
        <v>788</v>
      </c>
    </row>
    <row r="23" spans="4:12" ht="15.6">
      <c r="D23" t="s">
        <v>343</v>
      </c>
      <c r="E23">
        <v>329</v>
      </c>
      <c r="F23" s="71">
        <f t="shared" si="0"/>
        <v>329</v>
      </c>
      <c r="G23">
        <v>67</v>
      </c>
      <c r="H23" s="71">
        <f t="shared" si="1"/>
        <v>67</v>
      </c>
      <c r="I23">
        <v>7.3</v>
      </c>
      <c r="J23" s="71">
        <f t="shared" si="2"/>
        <v>7.3</v>
      </c>
      <c r="K23">
        <v>716</v>
      </c>
      <c r="L23" s="102">
        <f t="shared" si="3"/>
        <v>716</v>
      </c>
    </row>
    <row r="24" spans="4:12" ht="15.6">
      <c r="D24" t="s">
        <v>344</v>
      </c>
      <c r="E24">
        <v>232</v>
      </c>
      <c r="F24" s="71">
        <f t="shared" si="0"/>
        <v>232</v>
      </c>
      <c r="G24">
        <v>163</v>
      </c>
      <c r="H24" s="71">
        <f t="shared" si="1"/>
        <v>163</v>
      </c>
      <c r="I24">
        <v>7.7</v>
      </c>
      <c r="J24" s="71">
        <f t="shared" si="2"/>
        <v>7.7</v>
      </c>
      <c r="K24">
        <v>540</v>
      </c>
      <c r="L24" s="102">
        <f t="shared" si="3"/>
        <v>540</v>
      </c>
    </row>
    <row r="25" spans="4:12" ht="15.6">
      <c r="D25" t="s">
        <v>345</v>
      </c>
      <c r="E25">
        <v>852</v>
      </c>
      <c r="F25" s="71">
        <f t="shared" si="0"/>
        <v>852</v>
      </c>
      <c r="G25">
        <v>128</v>
      </c>
      <c r="H25" s="71">
        <f t="shared" si="1"/>
        <v>128</v>
      </c>
      <c r="I25">
        <v>7.4</v>
      </c>
      <c r="J25" s="71">
        <f t="shared" si="2"/>
        <v>7.4</v>
      </c>
      <c r="K25">
        <v>512</v>
      </c>
      <c r="L25" s="102">
        <f t="shared" si="3"/>
        <v>512</v>
      </c>
    </row>
    <row r="26" spans="4:12" ht="15.6">
      <c r="D26" t="s">
        <v>346</v>
      </c>
      <c r="E26">
        <v>265</v>
      </c>
      <c r="F26" s="71">
        <f t="shared" si="0"/>
        <v>265</v>
      </c>
      <c r="G26">
        <v>160</v>
      </c>
      <c r="H26" s="71">
        <f t="shared" si="1"/>
        <v>160</v>
      </c>
      <c r="I26">
        <v>6.5</v>
      </c>
      <c r="J26" s="71">
        <f t="shared" si="2"/>
        <v>6.5</v>
      </c>
      <c r="K26">
        <v>573</v>
      </c>
      <c r="L26" s="102">
        <f t="shared" si="3"/>
        <v>573</v>
      </c>
    </row>
    <row r="27" spans="4:12" ht="15.6">
      <c r="D27" t="s">
        <v>347</v>
      </c>
      <c r="E27">
        <v>915</v>
      </c>
      <c r="F27" s="71">
        <f t="shared" si="0"/>
        <v>915</v>
      </c>
      <c r="G27">
        <v>153</v>
      </c>
      <c r="H27" s="71">
        <f t="shared" si="1"/>
        <v>153</v>
      </c>
      <c r="I27">
        <v>8.1999999999999993</v>
      </c>
      <c r="J27" s="71">
        <f t="shared" si="2"/>
        <v>8.1999999999999993</v>
      </c>
      <c r="K27">
        <v>514</v>
      </c>
      <c r="L27" s="102">
        <f t="shared" si="3"/>
        <v>514</v>
      </c>
    </row>
    <row r="28" spans="4:12" ht="15.6">
      <c r="D28" t="s">
        <v>348</v>
      </c>
      <c r="E28">
        <v>944</v>
      </c>
      <c r="F28" s="71">
        <f t="shared" si="0"/>
        <v>944</v>
      </c>
      <c r="G28">
        <v>88</v>
      </c>
      <c r="H28" s="71">
        <f t="shared" si="1"/>
        <v>88</v>
      </c>
      <c r="I28">
        <v>8.1999999999999993</v>
      </c>
      <c r="J28" s="71">
        <f t="shared" si="2"/>
        <v>8.1999999999999993</v>
      </c>
      <c r="K28">
        <v>592</v>
      </c>
      <c r="L28" s="102">
        <f t="shared" si="3"/>
        <v>592</v>
      </c>
    </row>
    <row r="29" spans="4:12" ht="15.6">
      <c r="D29" t="s">
        <v>349</v>
      </c>
      <c r="E29">
        <v>947</v>
      </c>
      <c r="F29" s="71">
        <f t="shared" si="0"/>
        <v>947</v>
      </c>
      <c r="G29">
        <v>56</v>
      </c>
      <c r="H29" s="71">
        <f t="shared" si="1"/>
        <v>56</v>
      </c>
      <c r="I29">
        <v>7.7</v>
      </c>
      <c r="J29" s="71">
        <f t="shared" si="2"/>
        <v>7.7</v>
      </c>
      <c r="K29">
        <v>549</v>
      </c>
      <c r="L29" s="102">
        <f t="shared" si="3"/>
        <v>549</v>
      </c>
    </row>
    <row r="30" spans="4:12" ht="15.6">
      <c r="D30" t="s">
        <v>350</v>
      </c>
      <c r="E30">
        <v>897</v>
      </c>
      <c r="F30" s="71">
        <f t="shared" si="0"/>
        <v>897</v>
      </c>
      <c r="G30">
        <v>41</v>
      </c>
      <c r="H30" s="71">
        <f t="shared" si="1"/>
        <v>41</v>
      </c>
      <c r="I30">
        <v>8.1999999999999993</v>
      </c>
      <c r="J30" s="71">
        <f t="shared" si="2"/>
        <v>8.1999999999999993</v>
      </c>
      <c r="K30">
        <v>695</v>
      </c>
      <c r="L30" s="102">
        <f t="shared" si="3"/>
        <v>695</v>
      </c>
    </row>
    <row r="31" spans="4:12" ht="15.6">
      <c r="D31" t="s">
        <v>303</v>
      </c>
      <c r="E31">
        <v>168</v>
      </c>
      <c r="F31" s="71">
        <f t="shared" si="0"/>
        <v>168</v>
      </c>
      <c r="G31">
        <v>75</v>
      </c>
      <c r="H31" s="71">
        <f t="shared" si="1"/>
        <v>75</v>
      </c>
      <c r="I31">
        <v>11.9</v>
      </c>
      <c r="J31" s="71">
        <f t="shared" si="2"/>
        <v>11.9</v>
      </c>
      <c r="K31">
        <v>166</v>
      </c>
      <c r="L31" s="102">
        <f t="shared" si="3"/>
        <v>166</v>
      </c>
    </row>
    <row r="32" spans="4:12" ht="15.6">
      <c r="D32" t="s">
        <v>304</v>
      </c>
      <c r="E32">
        <v>244</v>
      </c>
      <c r="F32" s="71">
        <f t="shared" si="0"/>
        <v>244</v>
      </c>
      <c r="G32">
        <v>81</v>
      </c>
      <c r="H32" s="71">
        <f t="shared" si="1"/>
        <v>81</v>
      </c>
      <c r="I32">
        <v>7.8</v>
      </c>
      <c r="J32" s="71">
        <f t="shared" si="2"/>
        <v>7.8</v>
      </c>
      <c r="K32">
        <v>712</v>
      </c>
      <c r="L32" s="102">
        <f t="shared" si="3"/>
        <v>712</v>
      </c>
    </row>
    <row r="33" spans="4:12" ht="15.6">
      <c r="D33" t="s">
        <v>351</v>
      </c>
      <c r="E33">
        <v>229</v>
      </c>
      <c r="F33" s="71">
        <f t="shared" si="0"/>
        <v>229</v>
      </c>
      <c r="G33">
        <v>55</v>
      </c>
      <c r="H33" s="71">
        <f t="shared" si="1"/>
        <v>55</v>
      </c>
      <c r="I33">
        <v>5.5</v>
      </c>
      <c r="J33" s="71">
        <f t="shared" si="2"/>
        <v>5.5</v>
      </c>
      <c r="K33">
        <v>764</v>
      </c>
      <c r="L33" s="102">
        <f t="shared" si="3"/>
        <v>764</v>
      </c>
    </row>
    <row r="34" spans="4:12" ht="15.6">
      <c r="D34" t="s">
        <v>352</v>
      </c>
      <c r="E34">
        <v>153</v>
      </c>
      <c r="F34" s="71">
        <f t="shared" si="0"/>
        <v>153</v>
      </c>
      <c r="G34">
        <v>171</v>
      </c>
      <c r="H34" s="71">
        <f t="shared" si="1"/>
        <v>171</v>
      </c>
      <c r="I34">
        <v>9.9</v>
      </c>
      <c r="J34" s="71">
        <f t="shared" si="2"/>
        <v>9.9</v>
      </c>
      <c r="K34">
        <v>574</v>
      </c>
      <c r="L34" s="102">
        <f t="shared" si="3"/>
        <v>574</v>
      </c>
    </row>
    <row r="35" spans="4:12" ht="15.6">
      <c r="D35" t="s">
        <v>353</v>
      </c>
      <c r="E35">
        <v>400</v>
      </c>
      <c r="F35" s="71">
        <f t="shared" si="0"/>
        <v>400</v>
      </c>
      <c r="G35">
        <v>75</v>
      </c>
      <c r="H35" s="71">
        <f t="shared" si="1"/>
        <v>75</v>
      </c>
      <c r="I35">
        <v>7</v>
      </c>
      <c r="J35" s="71">
        <f t="shared" si="2"/>
        <v>7</v>
      </c>
      <c r="K35">
        <v>770</v>
      </c>
      <c r="L35" s="102">
        <f t="shared" si="3"/>
        <v>770</v>
      </c>
    </row>
    <row r="36" spans="4:12" ht="15.6">
      <c r="D36" t="s">
        <v>354</v>
      </c>
      <c r="E36">
        <v>898</v>
      </c>
      <c r="F36" s="71">
        <f t="shared" si="0"/>
        <v>898</v>
      </c>
      <c r="G36">
        <v>91</v>
      </c>
      <c r="H36" s="71">
        <f t="shared" si="1"/>
        <v>91</v>
      </c>
      <c r="I36">
        <v>7.7</v>
      </c>
      <c r="J36" s="71">
        <f t="shared" si="2"/>
        <v>7.7</v>
      </c>
      <c r="K36">
        <v>717</v>
      </c>
      <c r="L36" s="102">
        <f t="shared" si="3"/>
        <v>717</v>
      </c>
    </row>
    <row r="37" spans="4:12" ht="15.6">
      <c r="D37" t="s">
        <v>355</v>
      </c>
      <c r="E37">
        <v>314</v>
      </c>
      <c r="F37" s="71">
        <f t="shared" si="0"/>
        <v>314</v>
      </c>
      <c r="G37">
        <v>115</v>
      </c>
      <c r="H37" s="71">
        <f t="shared" si="1"/>
        <v>115</v>
      </c>
      <c r="I37">
        <v>7.6</v>
      </c>
      <c r="J37" s="71">
        <f t="shared" si="2"/>
        <v>7.6</v>
      </c>
      <c r="K37">
        <v>746</v>
      </c>
      <c r="L37" s="102">
        <f t="shared" si="3"/>
        <v>746</v>
      </c>
    </row>
    <row r="38" spans="4:12" ht="15.6">
      <c r="D38" t="s">
        <v>356</v>
      </c>
      <c r="E38">
        <v>925</v>
      </c>
      <c r="F38" s="71">
        <f t="shared" si="0"/>
        <v>925</v>
      </c>
      <c r="G38">
        <v>43</v>
      </c>
      <c r="H38" s="71">
        <f t="shared" si="1"/>
        <v>43</v>
      </c>
      <c r="I38">
        <v>6</v>
      </c>
      <c r="J38" s="71">
        <f t="shared" si="2"/>
        <v>6</v>
      </c>
      <c r="K38">
        <v>751</v>
      </c>
      <c r="L38" s="102">
        <f t="shared" si="3"/>
        <v>751</v>
      </c>
    </row>
    <row r="39" spans="4:12" ht="15.6">
      <c r="D39" t="s">
        <v>357</v>
      </c>
      <c r="E39">
        <v>227</v>
      </c>
      <c r="F39" s="71">
        <f t="shared" si="0"/>
        <v>227</v>
      </c>
      <c r="G39">
        <v>155</v>
      </c>
      <c r="H39" s="71">
        <f t="shared" si="1"/>
        <v>155</v>
      </c>
      <c r="I39">
        <v>8.1</v>
      </c>
      <c r="J39" s="71">
        <f t="shared" si="2"/>
        <v>8.1</v>
      </c>
      <c r="K39">
        <v>723</v>
      </c>
      <c r="L39" s="102">
        <f t="shared" si="3"/>
        <v>723</v>
      </c>
    </row>
    <row r="40" spans="4:12" ht="15.6">
      <c r="D40" t="s">
        <v>305</v>
      </c>
      <c r="E40">
        <v>219</v>
      </c>
      <c r="F40" s="71">
        <f t="shared" si="0"/>
        <v>219</v>
      </c>
      <c r="G40">
        <v>201</v>
      </c>
      <c r="H40" s="71">
        <f t="shared" si="1"/>
        <v>201</v>
      </c>
      <c r="I40">
        <v>10.9</v>
      </c>
      <c r="J40" s="71">
        <f t="shared" si="2"/>
        <v>10.9</v>
      </c>
      <c r="K40">
        <v>470</v>
      </c>
      <c r="L40" s="102">
        <f t="shared" si="3"/>
        <v>470</v>
      </c>
    </row>
    <row r="41" spans="4:12" ht="15.6">
      <c r="D41" t="s">
        <v>306</v>
      </c>
      <c r="E41">
        <v>352</v>
      </c>
      <c r="F41" s="71">
        <f t="shared" si="0"/>
        <v>352</v>
      </c>
      <c r="G41">
        <v>158</v>
      </c>
      <c r="H41" s="71">
        <f t="shared" si="1"/>
        <v>158</v>
      </c>
      <c r="I41">
        <v>9</v>
      </c>
      <c r="J41" s="71">
        <f t="shared" si="2"/>
        <v>9</v>
      </c>
      <c r="K41">
        <v>467</v>
      </c>
      <c r="L41" s="102">
        <f t="shared" si="3"/>
        <v>467</v>
      </c>
    </row>
    <row r="42" spans="4:12" ht="15.6">
      <c r="D42" t="s">
        <v>307</v>
      </c>
      <c r="E42">
        <v>120</v>
      </c>
      <c r="F42" s="71">
        <f t="shared" si="0"/>
        <v>120</v>
      </c>
      <c r="G42">
        <v>172</v>
      </c>
      <c r="H42" s="71">
        <f t="shared" si="1"/>
        <v>172</v>
      </c>
      <c r="I42">
        <v>11.3</v>
      </c>
      <c r="J42" s="71">
        <f t="shared" si="2"/>
        <v>11.3</v>
      </c>
      <c r="K42">
        <v>257</v>
      </c>
      <c r="L42" s="102">
        <f t="shared" si="3"/>
        <v>257</v>
      </c>
    </row>
    <row r="43" spans="4:12" ht="15.6">
      <c r="D43" t="s">
        <v>358</v>
      </c>
      <c r="E43">
        <v>151</v>
      </c>
      <c r="F43" s="71">
        <f t="shared" si="0"/>
        <v>151</v>
      </c>
      <c r="G43">
        <v>196</v>
      </c>
      <c r="H43" s="71">
        <f t="shared" si="1"/>
        <v>196</v>
      </c>
      <c r="I43">
        <v>9.6</v>
      </c>
      <c r="J43" s="71">
        <f t="shared" si="2"/>
        <v>9.6</v>
      </c>
      <c r="K43">
        <v>607</v>
      </c>
      <c r="L43" s="102">
        <f t="shared" si="3"/>
        <v>607</v>
      </c>
    </row>
    <row r="44" spans="4:12" ht="15.6">
      <c r="D44" t="s">
        <v>359</v>
      </c>
      <c r="E44">
        <v>349</v>
      </c>
      <c r="F44" s="71">
        <f t="shared" si="0"/>
        <v>349</v>
      </c>
      <c r="G44">
        <v>115</v>
      </c>
      <c r="H44" s="71">
        <f t="shared" si="1"/>
        <v>115</v>
      </c>
      <c r="I44">
        <v>7.5</v>
      </c>
      <c r="J44" s="71">
        <f t="shared" si="2"/>
        <v>7.5</v>
      </c>
      <c r="K44">
        <v>744</v>
      </c>
      <c r="L44" s="102">
        <f t="shared" si="3"/>
        <v>744</v>
      </c>
    </row>
    <row r="45" spans="4:12" ht="15.6">
      <c r="D45" t="s">
        <v>360</v>
      </c>
      <c r="E45">
        <v>890</v>
      </c>
      <c r="F45" s="71">
        <f t="shared" si="0"/>
        <v>890</v>
      </c>
      <c r="G45">
        <v>97</v>
      </c>
      <c r="H45" s="71">
        <f t="shared" si="1"/>
        <v>97</v>
      </c>
      <c r="I45">
        <v>7.8</v>
      </c>
      <c r="J45" s="71">
        <f t="shared" si="2"/>
        <v>7.8</v>
      </c>
      <c r="K45">
        <v>697</v>
      </c>
      <c r="L45" s="102">
        <f t="shared" si="3"/>
        <v>697</v>
      </c>
    </row>
    <row r="46" spans="4:12" ht="15.6">
      <c r="D46" t="s">
        <v>361</v>
      </c>
      <c r="E46">
        <v>275</v>
      </c>
      <c r="F46" s="71">
        <f t="shared" si="0"/>
        <v>275</v>
      </c>
      <c r="G46">
        <v>149</v>
      </c>
      <c r="H46" s="71">
        <f t="shared" si="1"/>
        <v>149</v>
      </c>
      <c r="I46">
        <v>8.1999999999999993</v>
      </c>
      <c r="J46" s="71">
        <f t="shared" si="2"/>
        <v>8.1999999999999993</v>
      </c>
      <c r="K46">
        <v>698</v>
      </c>
      <c r="L46" s="102">
        <f t="shared" si="3"/>
        <v>698</v>
      </c>
    </row>
    <row r="47" spans="4:12" ht="15.6">
      <c r="D47" t="s">
        <v>362</v>
      </c>
      <c r="E47">
        <v>201</v>
      </c>
      <c r="F47" s="71">
        <f t="shared" si="0"/>
        <v>201</v>
      </c>
      <c r="G47">
        <v>183</v>
      </c>
      <c r="H47" s="71">
        <f t="shared" si="1"/>
        <v>183</v>
      </c>
      <c r="I47">
        <v>8.9</v>
      </c>
      <c r="J47" s="71">
        <f t="shared" si="2"/>
        <v>8.9</v>
      </c>
      <c r="K47">
        <v>653</v>
      </c>
      <c r="L47" s="102">
        <f t="shared" si="3"/>
        <v>653</v>
      </c>
    </row>
    <row r="48" spans="4:12" ht="15.6">
      <c r="D48" t="s">
        <v>363</v>
      </c>
      <c r="E48">
        <v>905</v>
      </c>
      <c r="F48" s="71">
        <f t="shared" si="0"/>
        <v>905</v>
      </c>
      <c r="G48">
        <v>155</v>
      </c>
      <c r="H48" s="71">
        <f t="shared" si="1"/>
        <v>155</v>
      </c>
      <c r="I48">
        <v>8.6999999999999993</v>
      </c>
      <c r="J48" s="71">
        <f t="shared" si="2"/>
        <v>8.6999999999999993</v>
      </c>
      <c r="K48">
        <v>515</v>
      </c>
      <c r="L48" s="102">
        <f t="shared" si="3"/>
        <v>515</v>
      </c>
    </row>
    <row r="49" spans="4:12" ht="15.6">
      <c r="D49" t="s">
        <v>364</v>
      </c>
      <c r="E49">
        <v>562</v>
      </c>
      <c r="F49" s="71">
        <f t="shared" si="0"/>
        <v>562</v>
      </c>
      <c r="G49">
        <v>160</v>
      </c>
      <c r="H49" s="71">
        <f t="shared" si="1"/>
        <v>160</v>
      </c>
      <c r="I49">
        <v>8.3000000000000007</v>
      </c>
      <c r="J49" s="71">
        <f t="shared" si="2"/>
        <v>8.3000000000000007</v>
      </c>
      <c r="K49">
        <v>507</v>
      </c>
      <c r="L49" s="102">
        <f t="shared" si="3"/>
        <v>507</v>
      </c>
    </row>
    <row r="50" spans="4:12" ht="15.6">
      <c r="D50" t="s">
        <v>365</v>
      </c>
      <c r="E50">
        <v>205</v>
      </c>
      <c r="F50" s="71">
        <f t="shared" si="0"/>
        <v>205</v>
      </c>
      <c r="G50">
        <v>241</v>
      </c>
      <c r="H50" s="71">
        <f t="shared" si="1"/>
        <v>241</v>
      </c>
      <c r="I50">
        <v>9.6999999999999993</v>
      </c>
      <c r="J50" s="71">
        <f t="shared" si="2"/>
        <v>9.6999999999999993</v>
      </c>
      <c r="K50">
        <v>439</v>
      </c>
      <c r="L50" s="102">
        <f t="shared" si="3"/>
        <v>439</v>
      </c>
    </row>
    <row r="51" spans="4:12" ht="15.6">
      <c r="D51" t="s">
        <v>366</v>
      </c>
      <c r="E51">
        <v>914</v>
      </c>
      <c r="F51" s="71">
        <f t="shared" si="0"/>
        <v>914</v>
      </c>
      <c r="G51">
        <v>176</v>
      </c>
      <c r="H51" s="71">
        <f t="shared" si="1"/>
        <v>176</v>
      </c>
      <c r="I51">
        <v>9.4</v>
      </c>
      <c r="J51" s="71">
        <f t="shared" si="2"/>
        <v>9.4</v>
      </c>
      <c r="K51">
        <v>425</v>
      </c>
      <c r="L51" s="102">
        <f t="shared" si="3"/>
        <v>425</v>
      </c>
    </row>
    <row r="52" spans="4:12" ht="15.6">
      <c r="D52" t="s">
        <v>367</v>
      </c>
      <c r="E52">
        <v>917</v>
      </c>
      <c r="F52" s="71">
        <f t="shared" si="0"/>
        <v>917</v>
      </c>
      <c r="G52">
        <v>80</v>
      </c>
      <c r="H52" s="71">
        <f t="shared" si="1"/>
        <v>80</v>
      </c>
      <c r="I52">
        <v>8.5</v>
      </c>
      <c r="J52" s="71">
        <f t="shared" si="2"/>
        <v>8.5</v>
      </c>
      <c r="K52">
        <v>624</v>
      </c>
      <c r="L52" s="102">
        <f t="shared" si="3"/>
        <v>624</v>
      </c>
    </row>
    <row r="53" spans="4:12" ht="15.6">
      <c r="D53" t="s">
        <v>368</v>
      </c>
      <c r="E53">
        <v>925</v>
      </c>
      <c r="F53" s="71">
        <f t="shared" si="0"/>
        <v>925</v>
      </c>
      <c r="G53">
        <v>52</v>
      </c>
      <c r="H53" s="71">
        <f t="shared" si="1"/>
        <v>52</v>
      </c>
      <c r="I53">
        <v>7.6</v>
      </c>
      <c r="J53" s="71">
        <f t="shared" si="2"/>
        <v>7.6</v>
      </c>
      <c r="K53">
        <v>646</v>
      </c>
      <c r="L53" s="102">
        <f t="shared" si="3"/>
        <v>646</v>
      </c>
    </row>
    <row r="54" spans="4:12" ht="15.6">
      <c r="D54" t="s">
        <v>243</v>
      </c>
      <c r="E54">
        <v>245</v>
      </c>
      <c r="F54" s="71">
        <f t="shared" si="0"/>
        <v>245</v>
      </c>
      <c r="G54">
        <v>200</v>
      </c>
      <c r="H54" s="71">
        <f t="shared" si="1"/>
        <v>200</v>
      </c>
      <c r="I54">
        <v>9</v>
      </c>
      <c r="J54" s="71">
        <f t="shared" si="2"/>
        <v>9</v>
      </c>
      <c r="K54">
        <v>400</v>
      </c>
      <c r="L54" s="102">
        <f t="shared" si="3"/>
        <v>400</v>
      </c>
    </row>
    <row r="55" spans="4:12" ht="15.6">
      <c r="D55" t="s">
        <v>369</v>
      </c>
      <c r="E55">
        <v>820</v>
      </c>
      <c r="F55" s="71">
        <f t="shared" si="0"/>
        <v>820</v>
      </c>
      <c r="G55">
        <v>180</v>
      </c>
      <c r="H55" s="71">
        <f t="shared" si="1"/>
        <v>180</v>
      </c>
      <c r="I55">
        <v>8.6999999999999993</v>
      </c>
      <c r="J55" s="71">
        <f t="shared" si="2"/>
        <v>8.6999999999999993</v>
      </c>
      <c r="K55">
        <v>500</v>
      </c>
      <c r="L55" s="102">
        <f t="shared" si="3"/>
        <v>500</v>
      </c>
    </row>
    <row r="56" spans="4:12" ht="15.6">
      <c r="D56" t="s">
        <v>370</v>
      </c>
      <c r="E56">
        <v>891</v>
      </c>
      <c r="F56" s="71">
        <f t="shared" si="0"/>
        <v>891</v>
      </c>
      <c r="G56">
        <v>189</v>
      </c>
      <c r="H56" s="71">
        <f t="shared" si="1"/>
        <v>189</v>
      </c>
      <c r="I56">
        <v>9.1999999999999993</v>
      </c>
      <c r="J56" s="71">
        <f t="shared" si="2"/>
        <v>9.1999999999999993</v>
      </c>
      <c r="K56">
        <v>430</v>
      </c>
      <c r="L56" s="102">
        <f t="shared" si="3"/>
        <v>430</v>
      </c>
    </row>
    <row r="57" spans="4:12" ht="15.6">
      <c r="D57" t="s">
        <v>371</v>
      </c>
      <c r="E57">
        <v>202</v>
      </c>
      <c r="F57" s="71">
        <f t="shared" si="0"/>
        <v>202</v>
      </c>
      <c r="G57">
        <v>215</v>
      </c>
      <c r="H57" s="71">
        <f t="shared" si="1"/>
        <v>215</v>
      </c>
      <c r="I57">
        <v>10.3</v>
      </c>
      <c r="J57" s="71">
        <f t="shared" si="2"/>
        <v>10.3</v>
      </c>
      <c r="K57">
        <v>311</v>
      </c>
      <c r="L57" s="102">
        <f t="shared" si="3"/>
        <v>311</v>
      </c>
    </row>
    <row r="58" spans="4:12" ht="15.6">
      <c r="D58" t="s">
        <v>372</v>
      </c>
      <c r="E58">
        <v>900</v>
      </c>
      <c r="F58" s="71">
        <f t="shared" si="0"/>
        <v>900</v>
      </c>
      <c r="G58">
        <v>63</v>
      </c>
      <c r="H58" s="71">
        <f t="shared" si="1"/>
        <v>63</v>
      </c>
      <c r="I58">
        <v>6.2</v>
      </c>
      <c r="J58" s="71">
        <f t="shared" si="2"/>
        <v>6.2</v>
      </c>
      <c r="K58">
        <v>800</v>
      </c>
      <c r="L58" s="102">
        <f t="shared" si="3"/>
        <v>800</v>
      </c>
    </row>
    <row r="59" spans="4:12" ht="15.6">
      <c r="D59" t="s">
        <v>373</v>
      </c>
      <c r="E59">
        <v>358</v>
      </c>
      <c r="F59" s="71">
        <f t="shared" si="0"/>
        <v>358</v>
      </c>
      <c r="G59">
        <v>55</v>
      </c>
      <c r="H59" s="71">
        <f t="shared" si="1"/>
        <v>55</v>
      </c>
      <c r="I59">
        <v>6.2</v>
      </c>
      <c r="J59" s="71">
        <f t="shared" si="2"/>
        <v>6.2</v>
      </c>
      <c r="K59">
        <v>811</v>
      </c>
      <c r="L59" s="102">
        <f t="shared" si="3"/>
        <v>811</v>
      </c>
    </row>
    <row r="60" spans="4:12" ht="15.6">
      <c r="D60" t="s">
        <v>374</v>
      </c>
      <c r="E60">
        <v>254</v>
      </c>
      <c r="F60" s="71">
        <f t="shared" si="0"/>
        <v>254</v>
      </c>
      <c r="G60">
        <v>103</v>
      </c>
      <c r="H60" s="71">
        <f t="shared" si="1"/>
        <v>103</v>
      </c>
      <c r="I60">
        <v>8.5</v>
      </c>
      <c r="J60" s="71">
        <f t="shared" si="2"/>
        <v>8.5</v>
      </c>
      <c r="K60">
        <v>754</v>
      </c>
      <c r="L60" s="102">
        <f t="shared" si="3"/>
        <v>754</v>
      </c>
    </row>
    <row r="61" spans="4:12" ht="15.6">
      <c r="D61" t="s">
        <v>375</v>
      </c>
      <c r="E61">
        <v>192</v>
      </c>
      <c r="F61" s="71">
        <f t="shared" si="0"/>
        <v>192</v>
      </c>
      <c r="G61">
        <v>104</v>
      </c>
      <c r="H61" s="71">
        <f t="shared" si="1"/>
        <v>104</v>
      </c>
      <c r="I61">
        <v>11</v>
      </c>
      <c r="J61" s="71">
        <f t="shared" si="2"/>
        <v>11</v>
      </c>
      <c r="K61">
        <v>444</v>
      </c>
      <c r="L61" s="102">
        <f t="shared" si="3"/>
        <v>444</v>
      </c>
    </row>
    <row r="62" spans="4:12" ht="15.6">
      <c r="D62" t="s">
        <v>376</v>
      </c>
      <c r="E62">
        <v>501</v>
      </c>
      <c r="F62" s="71">
        <f t="shared" si="0"/>
        <v>501</v>
      </c>
      <c r="G62">
        <v>109</v>
      </c>
      <c r="H62" s="71">
        <f t="shared" si="1"/>
        <v>109</v>
      </c>
      <c r="I62">
        <v>12</v>
      </c>
      <c r="J62" s="71">
        <f t="shared" si="2"/>
        <v>12</v>
      </c>
      <c r="K62">
        <v>279</v>
      </c>
      <c r="L62" s="102">
        <f t="shared" si="3"/>
        <v>279</v>
      </c>
    </row>
    <row r="63" spans="4:12" ht="15.6">
      <c r="D63" t="s">
        <v>377</v>
      </c>
      <c r="E63">
        <v>873</v>
      </c>
      <c r="F63" s="71">
        <f t="shared" si="0"/>
        <v>873</v>
      </c>
      <c r="G63">
        <v>83</v>
      </c>
      <c r="H63" s="71">
        <f t="shared" si="1"/>
        <v>83</v>
      </c>
      <c r="I63">
        <v>12.6</v>
      </c>
      <c r="J63" s="71">
        <f t="shared" si="2"/>
        <v>12.6</v>
      </c>
      <c r="K63">
        <v>172</v>
      </c>
      <c r="L63" s="102">
        <f t="shared" si="3"/>
        <v>172</v>
      </c>
    </row>
    <row r="64" spans="4:12" ht="15.6">
      <c r="D64" t="s">
        <v>378</v>
      </c>
      <c r="E64">
        <v>912</v>
      </c>
      <c r="F64" s="71">
        <f t="shared" si="0"/>
        <v>912</v>
      </c>
      <c r="G64">
        <v>32</v>
      </c>
      <c r="H64" s="71">
        <f t="shared" si="1"/>
        <v>32</v>
      </c>
      <c r="I64">
        <v>6.9</v>
      </c>
      <c r="J64" s="71">
        <f t="shared" si="2"/>
        <v>6.9</v>
      </c>
      <c r="K64">
        <v>786</v>
      </c>
      <c r="L64" s="102">
        <f t="shared" si="3"/>
        <v>786</v>
      </c>
    </row>
    <row r="65" spans="4:12" ht="15.6">
      <c r="D65" t="s">
        <v>379</v>
      </c>
      <c r="E65">
        <v>873</v>
      </c>
      <c r="F65" s="71">
        <f t="shared" si="0"/>
        <v>873</v>
      </c>
      <c r="G65">
        <v>87</v>
      </c>
      <c r="H65" s="71">
        <f t="shared" si="1"/>
        <v>87</v>
      </c>
      <c r="I65">
        <v>7.8</v>
      </c>
      <c r="J65" s="71">
        <f t="shared" si="2"/>
        <v>7.8</v>
      </c>
      <c r="K65">
        <v>566</v>
      </c>
      <c r="L65" s="102">
        <f t="shared" si="3"/>
        <v>566</v>
      </c>
    </row>
    <row r="66" spans="4:12" ht="15.6">
      <c r="D66" t="s">
        <v>380</v>
      </c>
      <c r="E66">
        <v>610</v>
      </c>
      <c r="F66" s="71">
        <f t="shared" si="0"/>
        <v>610</v>
      </c>
      <c r="G66">
        <v>98</v>
      </c>
      <c r="H66" s="71">
        <f t="shared" si="1"/>
        <v>98</v>
      </c>
      <c r="I66">
        <v>12.8</v>
      </c>
      <c r="J66" s="71">
        <f t="shared" si="2"/>
        <v>12.8</v>
      </c>
      <c r="K66">
        <v>190</v>
      </c>
      <c r="L66" s="102">
        <f t="shared" si="3"/>
        <v>190</v>
      </c>
    </row>
    <row r="67" spans="4:12" ht="15.6">
      <c r="D67" t="s">
        <v>381</v>
      </c>
      <c r="E67">
        <v>235</v>
      </c>
      <c r="F67" s="71">
        <f t="shared" si="0"/>
        <v>235</v>
      </c>
      <c r="G67">
        <v>80</v>
      </c>
      <c r="H67" s="71">
        <f t="shared" si="1"/>
        <v>80</v>
      </c>
      <c r="I67">
        <v>9.5</v>
      </c>
      <c r="J67" s="71">
        <f t="shared" si="2"/>
        <v>9.5</v>
      </c>
      <c r="K67">
        <v>493</v>
      </c>
      <c r="L67" s="102">
        <f t="shared" si="3"/>
        <v>493</v>
      </c>
    </row>
    <row r="68" spans="4:12" ht="15.6">
      <c r="D68" t="s">
        <v>382</v>
      </c>
      <c r="E68">
        <v>262</v>
      </c>
      <c r="F68" s="71">
        <f t="shared" si="0"/>
        <v>262</v>
      </c>
      <c r="G68">
        <v>65</v>
      </c>
      <c r="H68" s="71">
        <f t="shared" si="1"/>
        <v>65</v>
      </c>
      <c r="I68">
        <v>9.9</v>
      </c>
      <c r="J68" s="71">
        <f t="shared" si="2"/>
        <v>9.9</v>
      </c>
      <c r="K68">
        <v>486</v>
      </c>
      <c r="L68" s="102">
        <f t="shared" si="3"/>
        <v>486</v>
      </c>
    </row>
    <row r="69" spans="4:12" ht="15.6">
      <c r="D69" t="s">
        <v>383</v>
      </c>
      <c r="E69">
        <v>335</v>
      </c>
      <c r="F69" s="71">
        <f t="shared" ref="F69:F132" si="4">E69</f>
        <v>335</v>
      </c>
      <c r="G69">
        <v>68</v>
      </c>
      <c r="H69" s="71">
        <f t="shared" ref="H69:H132" si="5">G69</f>
        <v>68</v>
      </c>
      <c r="I69">
        <v>10.7</v>
      </c>
      <c r="J69" s="71">
        <f t="shared" ref="J69:J132" si="6">I69</f>
        <v>10.7</v>
      </c>
      <c r="K69">
        <v>443</v>
      </c>
      <c r="L69" s="102">
        <f t="shared" ref="L69:L132" si="7">K69</f>
        <v>443</v>
      </c>
    </row>
    <row r="70" spans="4:12" ht="15.6">
      <c r="D70" t="s">
        <v>384</v>
      </c>
      <c r="E70">
        <v>379</v>
      </c>
      <c r="F70" s="71">
        <f t="shared" si="4"/>
        <v>379</v>
      </c>
      <c r="G70">
        <v>72</v>
      </c>
      <c r="H70" s="71">
        <f t="shared" si="5"/>
        <v>72</v>
      </c>
      <c r="I70">
        <v>10.9</v>
      </c>
      <c r="J70" s="71">
        <f t="shared" si="6"/>
        <v>10.9</v>
      </c>
      <c r="K70">
        <v>436</v>
      </c>
      <c r="L70" s="102">
        <f t="shared" si="7"/>
        <v>436</v>
      </c>
    </row>
    <row r="71" spans="4:12" ht="15.6">
      <c r="D71" t="s">
        <v>385</v>
      </c>
      <c r="E71">
        <v>895</v>
      </c>
      <c r="F71" s="71">
        <f t="shared" si="4"/>
        <v>895</v>
      </c>
      <c r="G71">
        <v>52</v>
      </c>
      <c r="H71" s="71">
        <f t="shared" si="5"/>
        <v>52</v>
      </c>
      <c r="I71">
        <v>7.5</v>
      </c>
      <c r="J71" s="71">
        <f t="shared" si="6"/>
        <v>7.5</v>
      </c>
      <c r="K71">
        <v>745</v>
      </c>
      <c r="L71" s="102">
        <f t="shared" si="7"/>
        <v>745</v>
      </c>
    </row>
    <row r="72" spans="4:12" ht="15.6">
      <c r="D72" t="s">
        <v>386</v>
      </c>
      <c r="E72">
        <v>251</v>
      </c>
      <c r="F72" s="71">
        <f t="shared" si="4"/>
        <v>251</v>
      </c>
      <c r="G72">
        <v>81</v>
      </c>
      <c r="H72" s="71">
        <f t="shared" si="5"/>
        <v>81</v>
      </c>
      <c r="I72">
        <v>9.8000000000000007</v>
      </c>
      <c r="J72" s="71">
        <f t="shared" si="6"/>
        <v>9.8000000000000007</v>
      </c>
      <c r="K72">
        <v>652</v>
      </c>
      <c r="L72" s="102">
        <f t="shared" si="7"/>
        <v>652</v>
      </c>
    </row>
    <row r="73" spans="4:12" ht="15.6">
      <c r="D73" t="s">
        <v>387</v>
      </c>
      <c r="E73">
        <v>307</v>
      </c>
      <c r="F73" s="71">
        <f t="shared" si="4"/>
        <v>307</v>
      </c>
      <c r="G73">
        <v>61</v>
      </c>
      <c r="H73" s="71">
        <f t="shared" si="5"/>
        <v>61</v>
      </c>
      <c r="I73">
        <v>8.1</v>
      </c>
      <c r="J73" s="71">
        <f t="shared" si="6"/>
        <v>8.1</v>
      </c>
      <c r="K73">
        <v>655</v>
      </c>
      <c r="L73" s="102">
        <f t="shared" si="7"/>
        <v>655</v>
      </c>
    </row>
    <row r="74" spans="4:12" ht="15.6">
      <c r="D74" t="s">
        <v>388</v>
      </c>
      <c r="E74">
        <v>200</v>
      </c>
      <c r="F74" s="71">
        <f t="shared" si="4"/>
        <v>200</v>
      </c>
      <c r="G74">
        <v>125</v>
      </c>
      <c r="H74" s="71">
        <f t="shared" si="5"/>
        <v>125</v>
      </c>
      <c r="I74">
        <v>6.5</v>
      </c>
      <c r="J74" s="71">
        <f t="shared" si="6"/>
        <v>6.5</v>
      </c>
      <c r="K74">
        <v>700</v>
      </c>
      <c r="L74" s="102">
        <f t="shared" si="7"/>
        <v>700</v>
      </c>
    </row>
    <row r="75" spans="4:12" ht="15.6">
      <c r="D75" t="s">
        <v>389</v>
      </c>
      <c r="E75">
        <v>120</v>
      </c>
      <c r="F75" s="71">
        <f t="shared" si="4"/>
        <v>120</v>
      </c>
      <c r="G75">
        <v>153</v>
      </c>
      <c r="H75" s="71">
        <f t="shared" si="5"/>
        <v>153</v>
      </c>
      <c r="I75">
        <v>9</v>
      </c>
      <c r="J75" s="71">
        <f t="shared" si="6"/>
        <v>9</v>
      </c>
      <c r="K75">
        <v>611</v>
      </c>
      <c r="L75" s="102">
        <f t="shared" si="7"/>
        <v>611</v>
      </c>
    </row>
    <row r="76" spans="4:12" ht="15.6">
      <c r="D76" t="s">
        <v>390</v>
      </c>
      <c r="E76">
        <v>351</v>
      </c>
      <c r="F76" s="71">
        <f t="shared" si="4"/>
        <v>351</v>
      </c>
      <c r="G76">
        <v>42</v>
      </c>
      <c r="H76" s="71">
        <f t="shared" si="5"/>
        <v>42</v>
      </c>
      <c r="I76">
        <v>6.6</v>
      </c>
      <c r="J76" s="71">
        <f t="shared" si="6"/>
        <v>6.6</v>
      </c>
      <c r="K76">
        <v>764</v>
      </c>
      <c r="L76" s="102">
        <f t="shared" si="7"/>
        <v>764</v>
      </c>
    </row>
    <row r="77" spans="4:12" ht="15.6">
      <c r="D77" t="s">
        <v>391</v>
      </c>
      <c r="E77">
        <v>902</v>
      </c>
      <c r="F77" s="71">
        <f t="shared" si="4"/>
        <v>902</v>
      </c>
      <c r="G77">
        <v>73</v>
      </c>
      <c r="H77" s="71">
        <f t="shared" si="5"/>
        <v>73</v>
      </c>
      <c r="I77">
        <v>7.3</v>
      </c>
      <c r="J77" s="71">
        <f t="shared" si="6"/>
        <v>7.3</v>
      </c>
      <c r="K77">
        <v>738</v>
      </c>
      <c r="L77" s="102">
        <f t="shared" si="7"/>
        <v>738</v>
      </c>
    </row>
    <row r="78" spans="4:12" ht="15.6">
      <c r="D78" t="s">
        <v>392</v>
      </c>
      <c r="E78">
        <v>265</v>
      </c>
      <c r="F78" s="71">
        <f t="shared" si="4"/>
        <v>265</v>
      </c>
      <c r="G78">
        <v>88</v>
      </c>
      <c r="H78" s="71">
        <f t="shared" si="5"/>
        <v>88</v>
      </c>
      <c r="I78">
        <v>7.4</v>
      </c>
      <c r="J78" s="71">
        <f t="shared" si="6"/>
        <v>7.4</v>
      </c>
      <c r="K78">
        <v>695</v>
      </c>
      <c r="L78" s="102">
        <f t="shared" si="7"/>
        <v>695</v>
      </c>
    </row>
    <row r="79" spans="4:12" ht="15.6">
      <c r="D79" t="s">
        <v>393</v>
      </c>
      <c r="E79">
        <v>231</v>
      </c>
      <c r="F79" s="71">
        <f t="shared" si="4"/>
        <v>231</v>
      </c>
      <c r="G79">
        <v>74</v>
      </c>
      <c r="H79" s="71">
        <f t="shared" si="5"/>
        <v>74</v>
      </c>
      <c r="I79">
        <v>7.6</v>
      </c>
      <c r="J79" s="71">
        <f t="shared" si="6"/>
        <v>7.6</v>
      </c>
      <c r="K79">
        <v>683</v>
      </c>
      <c r="L79" s="102">
        <f t="shared" si="7"/>
        <v>683</v>
      </c>
    </row>
    <row r="80" spans="4:12" ht="15.6">
      <c r="D80" t="s">
        <v>394</v>
      </c>
      <c r="E80">
        <v>184</v>
      </c>
      <c r="F80" s="71">
        <f t="shared" si="4"/>
        <v>184</v>
      </c>
      <c r="G80">
        <v>106</v>
      </c>
      <c r="H80" s="71">
        <f t="shared" si="5"/>
        <v>106</v>
      </c>
      <c r="I80">
        <v>8.1</v>
      </c>
      <c r="J80" s="71">
        <f t="shared" si="6"/>
        <v>8.1</v>
      </c>
      <c r="K80">
        <v>681</v>
      </c>
      <c r="L80" s="102">
        <f t="shared" si="7"/>
        <v>681</v>
      </c>
    </row>
    <row r="81" spans="4:12" ht="15.6">
      <c r="D81" t="s">
        <v>395</v>
      </c>
      <c r="E81">
        <v>173</v>
      </c>
      <c r="F81" s="71">
        <f t="shared" si="4"/>
        <v>173</v>
      </c>
      <c r="G81">
        <v>118</v>
      </c>
      <c r="H81" s="71">
        <f t="shared" si="5"/>
        <v>118</v>
      </c>
      <c r="I81">
        <v>7.9</v>
      </c>
      <c r="J81" s="71">
        <f t="shared" si="6"/>
        <v>7.9</v>
      </c>
      <c r="K81">
        <v>729</v>
      </c>
      <c r="L81" s="102">
        <f t="shared" si="7"/>
        <v>729</v>
      </c>
    </row>
    <row r="82" spans="4:12" ht="15.6">
      <c r="D82" t="s">
        <v>396</v>
      </c>
      <c r="E82">
        <v>441</v>
      </c>
      <c r="F82" s="71">
        <f t="shared" si="4"/>
        <v>441</v>
      </c>
      <c r="G82">
        <v>191</v>
      </c>
      <c r="H82" s="71">
        <f t="shared" si="5"/>
        <v>191</v>
      </c>
      <c r="I82">
        <v>8.4</v>
      </c>
      <c r="J82" s="71">
        <f t="shared" si="6"/>
        <v>8.4</v>
      </c>
      <c r="K82">
        <v>504</v>
      </c>
      <c r="L82" s="102">
        <f t="shared" si="7"/>
        <v>504</v>
      </c>
    </row>
    <row r="83" spans="4:12" ht="15.6">
      <c r="D83" t="s">
        <v>397</v>
      </c>
      <c r="E83">
        <v>200</v>
      </c>
      <c r="F83" s="71">
        <f t="shared" si="4"/>
        <v>200</v>
      </c>
      <c r="G83">
        <v>202</v>
      </c>
      <c r="H83" s="71">
        <f t="shared" si="5"/>
        <v>202</v>
      </c>
      <c r="I83">
        <v>11.2</v>
      </c>
      <c r="J83" s="71">
        <f t="shared" si="6"/>
        <v>11.2</v>
      </c>
      <c r="K83">
        <v>503</v>
      </c>
      <c r="L83" s="102">
        <f t="shared" si="7"/>
        <v>503</v>
      </c>
    </row>
    <row r="84" spans="4:12" ht="15.6">
      <c r="D84" t="s">
        <v>398</v>
      </c>
      <c r="E84">
        <v>901</v>
      </c>
      <c r="F84" s="71">
        <f t="shared" si="4"/>
        <v>901</v>
      </c>
      <c r="G84">
        <v>78</v>
      </c>
      <c r="H84" s="71">
        <f t="shared" si="5"/>
        <v>78</v>
      </c>
      <c r="I84">
        <v>8.1999999999999993</v>
      </c>
      <c r="J84" s="71">
        <f t="shared" si="6"/>
        <v>8.1999999999999993</v>
      </c>
      <c r="K84">
        <v>627</v>
      </c>
      <c r="L84" s="102">
        <f t="shared" si="7"/>
        <v>627</v>
      </c>
    </row>
    <row r="85" spans="4:12" ht="15.6">
      <c r="D85" t="s">
        <v>399</v>
      </c>
      <c r="E85">
        <v>259</v>
      </c>
      <c r="F85" s="71">
        <f t="shared" si="4"/>
        <v>259</v>
      </c>
      <c r="G85">
        <v>127</v>
      </c>
      <c r="H85" s="71">
        <f t="shared" si="5"/>
        <v>127</v>
      </c>
      <c r="I85">
        <v>9.6</v>
      </c>
      <c r="J85" s="71">
        <f t="shared" si="6"/>
        <v>9.6</v>
      </c>
      <c r="K85">
        <v>545</v>
      </c>
      <c r="L85" s="102">
        <f t="shared" si="7"/>
        <v>545</v>
      </c>
    </row>
    <row r="86" spans="4:12" ht="15.6">
      <c r="D86" t="s">
        <v>400</v>
      </c>
      <c r="E86">
        <v>348</v>
      </c>
      <c r="F86" s="71">
        <f t="shared" si="4"/>
        <v>348</v>
      </c>
      <c r="G86">
        <v>127</v>
      </c>
      <c r="H86" s="71">
        <f t="shared" si="5"/>
        <v>127</v>
      </c>
      <c r="I86">
        <v>9.1999999999999993</v>
      </c>
      <c r="J86" s="71">
        <f t="shared" si="6"/>
        <v>9.1999999999999993</v>
      </c>
      <c r="K86">
        <v>536</v>
      </c>
      <c r="L86" s="102">
        <f t="shared" si="7"/>
        <v>536</v>
      </c>
    </row>
    <row r="87" spans="4:12" ht="15.6">
      <c r="D87" t="s">
        <v>401</v>
      </c>
      <c r="E87">
        <v>909</v>
      </c>
      <c r="F87" s="71">
        <f t="shared" si="4"/>
        <v>909</v>
      </c>
      <c r="G87">
        <v>50</v>
      </c>
      <c r="H87" s="71">
        <f t="shared" si="5"/>
        <v>50</v>
      </c>
      <c r="I87">
        <v>7.7</v>
      </c>
      <c r="J87" s="71">
        <f t="shared" si="6"/>
        <v>7.7</v>
      </c>
      <c r="K87">
        <v>672</v>
      </c>
      <c r="L87" s="102">
        <f t="shared" si="7"/>
        <v>672</v>
      </c>
    </row>
    <row r="88" spans="4:12" ht="15.6">
      <c r="D88" t="s">
        <v>402</v>
      </c>
      <c r="E88">
        <v>900</v>
      </c>
      <c r="F88" s="71">
        <f t="shared" si="4"/>
        <v>900</v>
      </c>
      <c r="G88">
        <v>185</v>
      </c>
      <c r="H88" s="71">
        <f t="shared" si="5"/>
        <v>185</v>
      </c>
      <c r="I88">
        <v>9.9</v>
      </c>
      <c r="J88" s="71">
        <f t="shared" si="6"/>
        <v>9.9</v>
      </c>
      <c r="K88">
        <v>434</v>
      </c>
      <c r="L88" s="102">
        <f t="shared" si="7"/>
        <v>434</v>
      </c>
    </row>
    <row r="89" spans="4:12" ht="15.6">
      <c r="D89" t="s">
        <v>403</v>
      </c>
      <c r="E89">
        <v>944</v>
      </c>
      <c r="F89" s="71">
        <f t="shared" si="4"/>
        <v>944</v>
      </c>
      <c r="G89">
        <v>163</v>
      </c>
      <c r="H89" s="71">
        <f t="shared" si="5"/>
        <v>163</v>
      </c>
      <c r="I89">
        <v>8</v>
      </c>
      <c r="J89" s="71">
        <f t="shared" si="6"/>
        <v>8</v>
      </c>
      <c r="K89">
        <v>786</v>
      </c>
      <c r="L89" s="102">
        <f t="shared" si="7"/>
        <v>786</v>
      </c>
    </row>
    <row r="90" spans="4:12" ht="15.6">
      <c r="D90" t="s">
        <v>404</v>
      </c>
      <c r="E90">
        <v>318</v>
      </c>
      <c r="F90" s="71">
        <f t="shared" si="4"/>
        <v>318</v>
      </c>
      <c r="G90">
        <v>190</v>
      </c>
      <c r="H90" s="71">
        <f t="shared" si="5"/>
        <v>190</v>
      </c>
      <c r="I90">
        <v>9.6</v>
      </c>
      <c r="J90" s="71">
        <f t="shared" si="6"/>
        <v>9.6</v>
      </c>
      <c r="K90">
        <v>475</v>
      </c>
      <c r="L90" s="102">
        <f t="shared" si="7"/>
        <v>475</v>
      </c>
    </row>
    <row r="91" spans="4:12" ht="15.6">
      <c r="D91" t="s">
        <v>405</v>
      </c>
      <c r="E91">
        <v>878</v>
      </c>
      <c r="F91" s="71">
        <f t="shared" si="4"/>
        <v>878</v>
      </c>
      <c r="G91">
        <v>192</v>
      </c>
      <c r="H91" s="71">
        <f t="shared" si="5"/>
        <v>192</v>
      </c>
      <c r="I91">
        <v>9.6</v>
      </c>
      <c r="J91" s="71">
        <f t="shared" si="6"/>
        <v>9.6</v>
      </c>
      <c r="K91">
        <v>482</v>
      </c>
      <c r="L91" s="102">
        <f t="shared" si="7"/>
        <v>482</v>
      </c>
    </row>
    <row r="92" spans="4:12" ht="15.6">
      <c r="D92" t="s">
        <v>406</v>
      </c>
      <c r="E92">
        <v>528</v>
      </c>
      <c r="F92" s="71">
        <f t="shared" si="4"/>
        <v>528</v>
      </c>
      <c r="G92">
        <v>214</v>
      </c>
      <c r="H92" s="71">
        <f t="shared" si="5"/>
        <v>214</v>
      </c>
      <c r="I92">
        <v>9.3000000000000007</v>
      </c>
      <c r="J92" s="71">
        <f t="shared" si="6"/>
        <v>9.3000000000000007</v>
      </c>
      <c r="K92">
        <v>568</v>
      </c>
      <c r="L92" s="102">
        <f t="shared" si="7"/>
        <v>568</v>
      </c>
    </row>
    <row r="93" spans="4:12" ht="15.6">
      <c r="D93" t="s">
        <v>308</v>
      </c>
      <c r="E93">
        <v>470</v>
      </c>
      <c r="F93" s="71">
        <f t="shared" si="4"/>
        <v>470</v>
      </c>
      <c r="G93">
        <v>57</v>
      </c>
      <c r="H93" s="71">
        <f t="shared" si="5"/>
        <v>57</v>
      </c>
      <c r="I93">
        <v>8.4</v>
      </c>
      <c r="J93" s="71">
        <f t="shared" si="6"/>
        <v>8.4</v>
      </c>
      <c r="K93">
        <v>690</v>
      </c>
      <c r="L93" s="102">
        <f t="shared" si="7"/>
        <v>690</v>
      </c>
    </row>
    <row r="94" spans="4:12" ht="15.6">
      <c r="D94" t="s">
        <v>407</v>
      </c>
      <c r="E94">
        <v>916</v>
      </c>
      <c r="F94" s="71">
        <f t="shared" si="4"/>
        <v>916</v>
      </c>
      <c r="G94">
        <v>44</v>
      </c>
      <c r="H94" s="71">
        <f t="shared" si="5"/>
        <v>44</v>
      </c>
      <c r="I94">
        <v>7.1</v>
      </c>
      <c r="J94" s="71">
        <f t="shared" si="6"/>
        <v>7.1</v>
      </c>
      <c r="K94">
        <v>752</v>
      </c>
      <c r="L94" s="102">
        <f t="shared" si="7"/>
        <v>752</v>
      </c>
    </row>
    <row r="95" spans="4:12" ht="15.6">
      <c r="D95" t="s">
        <v>408</v>
      </c>
      <c r="E95">
        <v>187</v>
      </c>
      <c r="F95" s="71">
        <f t="shared" si="4"/>
        <v>187</v>
      </c>
      <c r="G95">
        <v>129</v>
      </c>
      <c r="H95" s="71">
        <f t="shared" si="5"/>
        <v>129</v>
      </c>
      <c r="I95">
        <v>8.8000000000000007</v>
      </c>
      <c r="J95" s="71">
        <f t="shared" si="6"/>
        <v>8.8000000000000007</v>
      </c>
      <c r="K95">
        <v>716</v>
      </c>
      <c r="L95" s="102">
        <f t="shared" si="7"/>
        <v>716</v>
      </c>
    </row>
    <row r="96" spans="4:12" ht="15.6">
      <c r="D96" t="s">
        <v>409</v>
      </c>
      <c r="E96">
        <v>328</v>
      </c>
      <c r="F96" s="71">
        <f t="shared" si="4"/>
        <v>328</v>
      </c>
      <c r="G96">
        <v>79</v>
      </c>
      <c r="H96" s="71">
        <f t="shared" si="5"/>
        <v>79</v>
      </c>
      <c r="I96">
        <v>6.7</v>
      </c>
      <c r="J96" s="71">
        <f t="shared" si="6"/>
        <v>6.7</v>
      </c>
      <c r="K96">
        <v>804</v>
      </c>
      <c r="L96" s="102">
        <f t="shared" si="7"/>
        <v>804</v>
      </c>
    </row>
    <row r="97" spans="4:12" ht="15.6">
      <c r="D97" t="s">
        <v>410</v>
      </c>
      <c r="E97">
        <v>289</v>
      </c>
      <c r="F97" s="71">
        <f t="shared" si="4"/>
        <v>289</v>
      </c>
      <c r="G97">
        <v>99</v>
      </c>
      <c r="H97" s="71">
        <f t="shared" si="5"/>
        <v>99</v>
      </c>
      <c r="I97">
        <v>7.6</v>
      </c>
      <c r="J97" s="71">
        <f t="shared" si="6"/>
        <v>7.6</v>
      </c>
      <c r="K97">
        <v>777</v>
      </c>
      <c r="L97" s="102">
        <f t="shared" si="7"/>
        <v>777</v>
      </c>
    </row>
    <row r="98" spans="4:12" ht="15.6">
      <c r="D98" t="s">
        <v>411</v>
      </c>
      <c r="E98">
        <v>237</v>
      </c>
      <c r="F98" s="71">
        <f t="shared" si="4"/>
        <v>237</v>
      </c>
      <c r="G98">
        <v>77</v>
      </c>
      <c r="H98" s="71">
        <f t="shared" si="5"/>
        <v>77</v>
      </c>
      <c r="I98">
        <v>7.9</v>
      </c>
      <c r="J98" s="71">
        <f t="shared" si="6"/>
        <v>7.9</v>
      </c>
      <c r="K98">
        <v>672</v>
      </c>
      <c r="L98" s="102">
        <f t="shared" si="7"/>
        <v>672</v>
      </c>
    </row>
    <row r="99" spans="4:12" ht="15.6">
      <c r="D99" t="s">
        <v>412</v>
      </c>
      <c r="E99">
        <v>901</v>
      </c>
      <c r="F99" s="71">
        <f t="shared" si="4"/>
        <v>901</v>
      </c>
      <c r="G99">
        <v>37</v>
      </c>
      <c r="H99" s="71">
        <f t="shared" si="5"/>
        <v>37</v>
      </c>
      <c r="I99">
        <v>6.1</v>
      </c>
      <c r="J99" s="71">
        <f t="shared" si="6"/>
        <v>6.1</v>
      </c>
      <c r="K99">
        <v>794</v>
      </c>
      <c r="L99" s="102">
        <f t="shared" si="7"/>
        <v>794</v>
      </c>
    </row>
    <row r="100" spans="4:12" ht="15.6">
      <c r="D100" t="s">
        <v>413</v>
      </c>
      <c r="E100">
        <v>249</v>
      </c>
      <c r="F100" s="71">
        <f t="shared" si="4"/>
        <v>249</v>
      </c>
      <c r="G100">
        <v>118</v>
      </c>
      <c r="H100" s="71">
        <f t="shared" si="5"/>
        <v>118</v>
      </c>
      <c r="I100">
        <v>8.5</v>
      </c>
      <c r="J100" s="71">
        <f t="shared" si="6"/>
        <v>8.5</v>
      </c>
      <c r="K100">
        <v>750</v>
      </c>
      <c r="L100" s="102">
        <f t="shared" si="7"/>
        <v>750</v>
      </c>
    </row>
    <row r="101" spans="4:12" ht="15.6">
      <c r="D101" t="s">
        <v>414</v>
      </c>
      <c r="E101">
        <v>170</v>
      </c>
      <c r="F101" s="71">
        <f t="shared" si="4"/>
        <v>170</v>
      </c>
      <c r="G101">
        <v>182</v>
      </c>
      <c r="H101" s="71">
        <f t="shared" si="5"/>
        <v>182</v>
      </c>
      <c r="I101">
        <v>12</v>
      </c>
      <c r="J101" s="71">
        <f t="shared" si="6"/>
        <v>12</v>
      </c>
      <c r="K101">
        <v>446</v>
      </c>
      <c r="L101" s="102">
        <f t="shared" si="7"/>
        <v>446</v>
      </c>
    </row>
    <row r="102" spans="4:12" ht="15.6">
      <c r="D102" t="s">
        <v>415</v>
      </c>
      <c r="E102">
        <v>270</v>
      </c>
      <c r="F102" s="71">
        <f t="shared" si="4"/>
        <v>270</v>
      </c>
      <c r="G102">
        <v>150</v>
      </c>
      <c r="H102" s="71">
        <f t="shared" si="5"/>
        <v>150</v>
      </c>
      <c r="I102">
        <v>11</v>
      </c>
      <c r="J102" s="71">
        <f t="shared" si="6"/>
        <v>11</v>
      </c>
      <c r="K102">
        <v>327</v>
      </c>
      <c r="L102" s="102">
        <f t="shared" si="7"/>
        <v>327</v>
      </c>
    </row>
    <row r="103" spans="4:12" ht="15.6">
      <c r="D103" t="s">
        <v>416</v>
      </c>
      <c r="E103">
        <v>145</v>
      </c>
      <c r="F103" s="71">
        <f t="shared" si="4"/>
        <v>145</v>
      </c>
      <c r="G103">
        <v>177</v>
      </c>
      <c r="H103" s="71">
        <f t="shared" si="5"/>
        <v>177</v>
      </c>
      <c r="I103">
        <v>9.8000000000000007</v>
      </c>
      <c r="J103" s="71">
        <f t="shared" si="6"/>
        <v>9.8000000000000007</v>
      </c>
      <c r="K103">
        <v>521</v>
      </c>
      <c r="L103" s="102">
        <f t="shared" si="7"/>
        <v>521</v>
      </c>
    </row>
    <row r="104" spans="4:12" ht="15.6">
      <c r="D104" t="s">
        <v>417</v>
      </c>
      <c r="E104">
        <v>589</v>
      </c>
      <c r="F104" s="71">
        <f t="shared" si="4"/>
        <v>589</v>
      </c>
      <c r="G104">
        <v>59</v>
      </c>
      <c r="H104" s="71">
        <f t="shared" si="5"/>
        <v>59</v>
      </c>
      <c r="I104">
        <v>8.1</v>
      </c>
      <c r="J104" s="71">
        <f t="shared" si="6"/>
        <v>8.1</v>
      </c>
      <c r="K104">
        <v>715</v>
      </c>
      <c r="L104" s="102">
        <f t="shared" si="7"/>
        <v>715</v>
      </c>
    </row>
    <row r="105" spans="4:12" ht="15.6">
      <c r="D105" t="s">
        <v>418</v>
      </c>
      <c r="E105">
        <v>410</v>
      </c>
      <c r="F105" s="71">
        <f t="shared" si="4"/>
        <v>410</v>
      </c>
      <c r="G105">
        <v>87</v>
      </c>
      <c r="H105" s="71">
        <f t="shared" si="5"/>
        <v>87</v>
      </c>
      <c r="I105">
        <v>8.5</v>
      </c>
      <c r="J105" s="71">
        <f t="shared" si="6"/>
        <v>8.5</v>
      </c>
      <c r="K105">
        <v>704</v>
      </c>
      <c r="L105" s="102">
        <f t="shared" si="7"/>
        <v>704</v>
      </c>
    </row>
    <row r="106" spans="4:12" ht="15.6">
      <c r="D106" t="s">
        <v>419</v>
      </c>
      <c r="E106">
        <v>231</v>
      </c>
      <c r="F106" s="71">
        <f t="shared" si="4"/>
        <v>231</v>
      </c>
      <c r="G106">
        <v>114</v>
      </c>
      <c r="H106" s="71">
        <f t="shared" si="5"/>
        <v>114</v>
      </c>
      <c r="I106">
        <v>8.8000000000000007</v>
      </c>
      <c r="J106" s="71">
        <f t="shared" si="6"/>
        <v>8.8000000000000007</v>
      </c>
      <c r="K106">
        <v>693</v>
      </c>
      <c r="L106" s="102">
        <f t="shared" si="7"/>
        <v>693</v>
      </c>
    </row>
    <row r="107" spans="4:12" ht="15.6">
      <c r="D107" t="s">
        <v>420</v>
      </c>
      <c r="E107">
        <v>196</v>
      </c>
      <c r="F107" s="71">
        <f t="shared" si="4"/>
        <v>196</v>
      </c>
      <c r="G107">
        <v>119</v>
      </c>
      <c r="H107" s="71">
        <f t="shared" si="5"/>
        <v>119</v>
      </c>
      <c r="I107">
        <v>8.8000000000000007</v>
      </c>
      <c r="J107" s="71">
        <f t="shared" si="6"/>
        <v>8.8000000000000007</v>
      </c>
      <c r="K107">
        <v>612</v>
      </c>
      <c r="L107" s="102">
        <f t="shared" si="7"/>
        <v>612</v>
      </c>
    </row>
    <row r="108" spans="4:12" ht="15.6">
      <c r="D108" t="s">
        <v>421</v>
      </c>
      <c r="E108">
        <v>196</v>
      </c>
      <c r="F108" s="71">
        <f t="shared" si="4"/>
        <v>196</v>
      </c>
      <c r="G108">
        <v>160</v>
      </c>
      <c r="H108" s="71">
        <f t="shared" si="5"/>
        <v>160</v>
      </c>
      <c r="I108">
        <v>9.1999999999999993</v>
      </c>
      <c r="J108" s="71">
        <f t="shared" si="6"/>
        <v>9.1999999999999993</v>
      </c>
      <c r="K108">
        <v>570</v>
      </c>
      <c r="L108" s="102">
        <f t="shared" si="7"/>
        <v>570</v>
      </c>
    </row>
    <row r="109" spans="4:12" ht="15.6">
      <c r="D109" t="s">
        <v>422</v>
      </c>
      <c r="E109">
        <v>349</v>
      </c>
      <c r="F109" s="71">
        <f t="shared" si="4"/>
        <v>349</v>
      </c>
      <c r="G109">
        <v>65</v>
      </c>
      <c r="H109" s="71">
        <f t="shared" si="5"/>
        <v>65</v>
      </c>
      <c r="I109">
        <v>6.8</v>
      </c>
      <c r="J109" s="71">
        <f t="shared" si="6"/>
        <v>6.8</v>
      </c>
      <c r="K109">
        <v>812</v>
      </c>
      <c r="L109" s="102">
        <f t="shared" si="7"/>
        <v>812</v>
      </c>
    </row>
    <row r="110" spans="4:12" ht="15.6">
      <c r="D110" t="s">
        <v>423</v>
      </c>
      <c r="E110">
        <v>309</v>
      </c>
      <c r="F110" s="71">
        <f t="shared" si="4"/>
        <v>309</v>
      </c>
      <c r="G110">
        <v>92</v>
      </c>
      <c r="H110" s="71">
        <f t="shared" si="5"/>
        <v>92</v>
      </c>
      <c r="I110">
        <v>7.5</v>
      </c>
      <c r="J110" s="71">
        <f t="shared" si="6"/>
        <v>7.5</v>
      </c>
      <c r="K110">
        <v>747</v>
      </c>
      <c r="L110" s="102">
        <f t="shared" si="7"/>
        <v>747</v>
      </c>
    </row>
    <row r="111" spans="4:12" ht="15.6">
      <c r="D111" t="s">
        <v>424</v>
      </c>
      <c r="E111">
        <v>268</v>
      </c>
      <c r="F111" s="71">
        <f t="shared" si="4"/>
        <v>268</v>
      </c>
      <c r="G111">
        <v>116</v>
      </c>
      <c r="H111" s="71">
        <f t="shared" si="5"/>
        <v>116</v>
      </c>
      <c r="I111">
        <v>8.3000000000000007</v>
      </c>
      <c r="J111" s="71">
        <f t="shared" si="6"/>
        <v>8.3000000000000007</v>
      </c>
      <c r="K111">
        <v>681</v>
      </c>
      <c r="L111" s="102">
        <f t="shared" si="7"/>
        <v>681</v>
      </c>
    </row>
    <row r="112" spans="4:12" ht="15.6">
      <c r="D112" t="s">
        <v>309</v>
      </c>
      <c r="E112">
        <v>215</v>
      </c>
      <c r="F112" s="71">
        <f t="shared" si="4"/>
        <v>215</v>
      </c>
      <c r="G112">
        <v>182</v>
      </c>
      <c r="H112" s="71">
        <f t="shared" si="5"/>
        <v>182</v>
      </c>
      <c r="I112">
        <v>9.6</v>
      </c>
      <c r="J112" s="71">
        <f t="shared" si="6"/>
        <v>9.6</v>
      </c>
      <c r="K112">
        <v>473</v>
      </c>
      <c r="L112" s="102">
        <f t="shared" si="7"/>
        <v>473</v>
      </c>
    </row>
    <row r="113" spans="4:12" ht="15.6">
      <c r="D113" t="s">
        <v>425</v>
      </c>
      <c r="E113">
        <v>886</v>
      </c>
      <c r="F113" s="71">
        <f t="shared" si="4"/>
        <v>886</v>
      </c>
      <c r="G113">
        <v>136</v>
      </c>
      <c r="H113" s="71">
        <f t="shared" si="5"/>
        <v>136</v>
      </c>
      <c r="I113">
        <v>7.4</v>
      </c>
      <c r="J113" s="71">
        <f t="shared" si="6"/>
        <v>7.4</v>
      </c>
      <c r="K113">
        <v>611</v>
      </c>
      <c r="L113" s="102">
        <f t="shared" si="7"/>
        <v>611</v>
      </c>
    </row>
    <row r="114" spans="4:12" ht="15.6">
      <c r="D114" t="s">
        <v>310</v>
      </c>
      <c r="E114">
        <v>244</v>
      </c>
      <c r="F114" s="71">
        <f t="shared" si="4"/>
        <v>244</v>
      </c>
      <c r="G114">
        <v>78</v>
      </c>
      <c r="H114" s="71">
        <f t="shared" si="5"/>
        <v>78</v>
      </c>
      <c r="I114">
        <v>8.6999999999999993</v>
      </c>
      <c r="J114" s="71">
        <f t="shared" si="6"/>
        <v>8.6999999999999993</v>
      </c>
      <c r="K114">
        <v>579</v>
      </c>
      <c r="L114" s="102">
        <f t="shared" si="7"/>
        <v>579</v>
      </c>
    </row>
    <row r="115" spans="4:12" ht="15.6">
      <c r="D115" t="s">
        <v>426</v>
      </c>
      <c r="E115">
        <v>908</v>
      </c>
      <c r="F115" s="71">
        <f t="shared" si="4"/>
        <v>908</v>
      </c>
      <c r="G115">
        <v>104</v>
      </c>
      <c r="H115" s="71">
        <f t="shared" si="5"/>
        <v>104</v>
      </c>
      <c r="I115">
        <v>8.3000000000000007</v>
      </c>
      <c r="J115" s="71">
        <f t="shared" si="6"/>
        <v>8.3000000000000007</v>
      </c>
      <c r="K115">
        <v>680</v>
      </c>
      <c r="L115" s="102">
        <f t="shared" si="7"/>
        <v>680</v>
      </c>
    </row>
    <row r="116" spans="4:12" ht="15.6">
      <c r="D116" t="s">
        <v>427</v>
      </c>
      <c r="E116">
        <v>299</v>
      </c>
      <c r="F116" s="71">
        <f t="shared" si="4"/>
        <v>299</v>
      </c>
      <c r="G116">
        <v>68</v>
      </c>
      <c r="H116" s="71">
        <f t="shared" si="5"/>
        <v>68</v>
      </c>
      <c r="I116">
        <v>8.3000000000000007</v>
      </c>
      <c r="J116" s="71">
        <f t="shared" si="6"/>
        <v>8.3000000000000007</v>
      </c>
      <c r="K116">
        <v>650</v>
      </c>
      <c r="L116" s="102">
        <f t="shared" si="7"/>
        <v>650</v>
      </c>
    </row>
    <row r="117" spans="4:12" ht="15.6">
      <c r="D117" t="s">
        <v>428</v>
      </c>
      <c r="E117">
        <v>891</v>
      </c>
      <c r="F117" s="71">
        <f t="shared" si="4"/>
        <v>891</v>
      </c>
      <c r="G117">
        <v>131</v>
      </c>
      <c r="H117" s="71">
        <f t="shared" si="5"/>
        <v>131</v>
      </c>
      <c r="I117">
        <v>11.5</v>
      </c>
      <c r="J117" s="71">
        <f t="shared" si="6"/>
        <v>11.5</v>
      </c>
      <c r="K117">
        <v>644</v>
      </c>
      <c r="L117" s="102">
        <f t="shared" si="7"/>
        <v>644</v>
      </c>
    </row>
    <row r="118" spans="4:12" ht="15.6">
      <c r="D118" t="s">
        <v>429</v>
      </c>
      <c r="E118">
        <v>248</v>
      </c>
      <c r="F118" s="71">
        <f t="shared" si="4"/>
        <v>248</v>
      </c>
      <c r="G118">
        <v>154</v>
      </c>
      <c r="H118" s="71">
        <f t="shared" si="5"/>
        <v>154</v>
      </c>
      <c r="I118">
        <v>9.4</v>
      </c>
      <c r="J118" s="71">
        <f t="shared" si="6"/>
        <v>9.4</v>
      </c>
      <c r="K118">
        <v>537</v>
      </c>
      <c r="L118" s="102">
        <f t="shared" si="7"/>
        <v>537</v>
      </c>
    </row>
    <row r="119" spans="4:12" ht="15.6">
      <c r="D119" t="s">
        <v>430</v>
      </c>
      <c r="E119">
        <v>377</v>
      </c>
      <c r="F119" s="71">
        <f t="shared" si="4"/>
        <v>377</v>
      </c>
      <c r="G119">
        <v>84</v>
      </c>
      <c r="H119" s="71">
        <f t="shared" si="5"/>
        <v>84</v>
      </c>
      <c r="I119">
        <v>6.7</v>
      </c>
      <c r="J119" s="71">
        <f t="shared" si="6"/>
        <v>6.7</v>
      </c>
      <c r="K119">
        <v>761</v>
      </c>
      <c r="L119" s="102">
        <f t="shared" si="7"/>
        <v>761</v>
      </c>
    </row>
    <row r="120" spans="4:12" ht="15.6">
      <c r="D120" t="s">
        <v>431</v>
      </c>
      <c r="E120">
        <v>896</v>
      </c>
      <c r="F120" s="71">
        <f t="shared" si="4"/>
        <v>896</v>
      </c>
      <c r="G120">
        <v>86</v>
      </c>
      <c r="H120" s="71">
        <f t="shared" si="5"/>
        <v>86</v>
      </c>
      <c r="I120">
        <v>8.1999999999999993</v>
      </c>
      <c r="J120" s="71">
        <f t="shared" si="6"/>
        <v>8.1999999999999993</v>
      </c>
      <c r="K120">
        <v>748</v>
      </c>
      <c r="L120" s="102">
        <f t="shared" si="7"/>
        <v>748</v>
      </c>
    </row>
    <row r="121" spans="4:12" ht="15.6">
      <c r="D121" t="s">
        <v>432</v>
      </c>
      <c r="E121">
        <v>342</v>
      </c>
      <c r="F121" s="71">
        <f t="shared" si="4"/>
        <v>342</v>
      </c>
      <c r="G121">
        <v>107</v>
      </c>
      <c r="H121" s="71">
        <f t="shared" si="5"/>
        <v>107</v>
      </c>
      <c r="I121">
        <v>7.5</v>
      </c>
      <c r="J121" s="71">
        <f t="shared" si="6"/>
        <v>7.5</v>
      </c>
      <c r="K121">
        <v>741</v>
      </c>
      <c r="L121" s="102">
        <f t="shared" si="7"/>
        <v>741</v>
      </c>
    </row>
    <row r="122" spans="4:12" ht="15.6">
      <c r="D122" t="s">
        <v>433</v>
      </c>
      <c r="E122">
        <v>306</v>
      </c>
      <c r="F122" s="71">
        <f t="shared" si="4"/>
        <v>306</v>
      </c>
      <c r="G122">
        <v>129</v>
      </c>
      <c r="H122" s="71">
        <f t="shared" si="5"/>
        <v>129</v>
      </c>
      <c r="I122">
        <v>8.3000000000000007</v>
      </c>
      <c r="J122" s="71">
        <f t="shared" si="6"/>
        <v>8.3000000000000007</v>
      </c>
      <c r="K122">
        <v>721</v>
      </c>
      <c r="L122" s="102">
        <f t="shared" si="7"/>
        <v>721</v>
      </c>
    </row>
    <row r="123" spans="4:12" ht="15.6">
      <c r="D123" t="s">
        <v>434</v>
      </c>
      <c r="E123">
        <v>254</v>
      </c>
      <c r="F123" s="71">
        <f t="shared" si="4"/>
        <v>254</v>
      </c>
      <c r="G123">
        <v>135</v>
      </c>
      <c r="H123" s="71">
        <f t="shared" si="5"/>
        <v>135</v>
      </c>
      <c r="I123">
        <v>9.3000000000000007</v>
      </c>
      <c r="J123" s="71">
        <f t="shared" si="6"/>
        <v>9.3000000000000007</v>
      </c>
      <c r="K123">
        <v>500</v>
      </c>
      <c r="L123" s="102">
        <f t="shared" si="7"/>
        <v>500</v>
      </c>
    </row>
    <row r="124" spans="4:12" ht="15.6">
      <c r="D124" t="s">
        <v>435</v>
      </c>
      <c r="E124">
        <v>437</v>
      </c>
      <c r="F124" s="71">
        <f t="shared" si="4"/>
        <v>437</v>
      </c>
      <c r="G124">
        <v>86</v>
      </c>
      <c r="H124" s="71">
        <f t="shared" si="5"/>
        <v>86</v>
      </c>
      <c r="I124">
        <v>6.1</v>
      </c>
      <c r="J124" s="71">
        <f t="shared" si="6"/>
        <v>6.1</v>
      </c>
      <c r="K124">
        <v>794</v>
      </c>
      <c r="L124" s="102">
        <f t="shared" si="7"/>
        <v>794</v>
      </c>
    </row>
    <row r="125" spans="4:12" ht="15.6">
      <c r="D125" t="s">
        <v>436</v>
      </c>
      <c r="E125">
        <v>919</v>
      </c>
      <c r="F125" s="71">
        <f t="shared" si="4"/>
        <v>919</v>
      </c>
      <c r="G125">
        <v>93</v>
      </c>
      <c r="H125" s="71">
        <f t="shared" si="5"/>
        <v>93</v>
      </c>
      <c r="I125">
        <v>7.7</v>
      </c>
      <c r="J125" s="71">
        <f t="shared" si="6"/>
        <v>7.7</v>
      </c>
      <c r="K125">
        <v>711</v>
      </c>
      <c r="L125" s="102">
        <f t="shared" si="7"/>
        <v>711</v>
      </c>
    </row>
    <row r="126" spans="4:12" ht="15.6">
      <c r="D126" t="s">
        <v>437</v>
      </c>
      <c r="E126">
        <v>375</v>
      </c>
      <c r="F126" s="71">
        <f t="shared" si="4"/>
        <v>375</v>
      </c>
      <c r="G126">
        <v>104</v>
      </c>
      <c r="H126" s="71">
        <f t="shared" si="5"/>
        <v>104</v>
      </c>
      <c r="I126">
        <v>7.2</v>
      </c>
      <c r="J126" s="71">
        <f t="shared" si="6"/>
        <v>7.2</v>
      </c>
      <c r="K126">
        <v>730</v>
      </c>
      <c r="L126" s="102">
        <f t="shared" si="7"/>
        <v>730</v>
      </c>
    </row>
    <row r="127" spans="4:12" ht="15.6">
      <c r="D127" t="s">
        <v>438</v>
      </c>
      <c r="E127">
        <v>313</v>
      </c>
      <c r="F127" s="71">
        <f t="shared" si="4"/>
        <v>313</v>
      </c>
      <c r="G127">
        <v>121</v>
      </c>
      <c r="H127" s="71">
        <f t="shared" si="5"/>
        <v>121</v>
      </c>
      <c r="I127">
        <v>8.3000000000000007</v>
      </c>
      <c r="J127" s="71">
        <f t="shared" si="6"/>
        <v>8.3000000000000007</v>
      </c>
      <c r="K127">
        <v>667</v>
      </c>
      <c r="L127" s="102">
        <f t="shared" si="7"/>
        <v>667</v>
      </c>
    </row>
    <row r="128" spans="4:12" ht="15.6">
      <c r="D128" t="s">
        <v>439</v>
      </c>
      <c r="E128">
        <v>289</v>
      </c>
      <c r="F128" s="71">
        <f t="shared" si="4"/>
        <v>289</v>
      </c>
      <c r="G128">
        <v>143</v>
      </c>
      <c r="H128" s="71">
        <f t="shared" si="5"/>
        <v>143</v>
      </c>
      <c r="I128">
        <v>8.3000000000000007</v>
      </c>
      <c r="J128" s="71">
        <f t="shared" si="6"/>
        <v>8.3000000000000007</v>
      </c>
      <c r="K128">
        <v>489</v>
      </c>
      <c r="L128" s="102">
        <f t="shared" si="7"/>
        <v>489</v>
      </c>
    </row>
    <row r="129" spans="4:12" ht="15.6">
      <c r="D129" t="s">
        <v>440</v>
      </c>
      <c r="E129">
        <v>243</v>
      </c>
      <c r="F129" s="71">
        <f t="shared" si="4"/>
        <v>243</v>
      </c>
      <c r="G129">
        <v>116</v>
      </c>
      <c r="H129" s="71">
        <f t="shared" si="5"/>
        <v>116</v>
      </c>
      <c r="I129">
        <v>9.1</v>
      </c>
      <c r="J129" s="71">
        <f t="shared" si="6"/>
        <v>9.1</v>
      </c>
      <c r="K129">
        <v>421</v>
      </c>
      <c r="L129" s="102">
        <f t="shared" si="7"/>
        <v>421</v>
      </c>
    </row>
    <row r="130" spans="4:12" ht="15.6">
      <c r="D130" t="s">
        <v>441</v>
      </c>
      <c r="E130">
        <v>849</v>
      </c>
      <c r="F130" s="71">
        <f t="shared" si="4"/>
        <v>849</v>
      </c>
      <c r="G130">
        <v>76</v>
      </c>
      <c r="H130" s="71">
        <f t="shared" si="5"/>
        <v>76</v>
      </c>
      <c r="I130">
        <v>7.1</v>
      </c>
      <c r="J130" s="71">
        <f t="shared" si="6"/>
        <v>7.1</v>
      </c>
      <c r="K130">
        <v>556</v>
      </c>
      <c r="L130" s="102">
        <f t="shared" si="7"/>
        <v>556</v>
      </c>
    </row>
    <row r="131" spans="4:12" ht="15.6">
      <c r="D131" t="s">
        <v>442</v>
      </c>
      <c r="E131">
        <v>158</v>
      </c>
      <c r="F131" s="71">
        <f t="shared" si="4"/>
        <v>158</v>
      </c>
      <c r="G131">
        <v>130</v>
      </c>
      <c r="H131" s="71">
        <f t="shared" si="5"/>
        <v>130</v>
      </c>
      <c r="I131">
        <v>8.9</v>
      </c>
      <c r="J131" s="71">
        <f t="shared" si="6"/>
        <v>8.9</v>
      </c>
      <c r="K131">
        <v>396</v>
      </c>
      <c r="L131" s="102">
        <f t="shared" si="7"/>
        <v>396</v>
      </c>
    </row>
    <row r="132" spans="4:12" ht="15.6">
      <c r="D132" t="s">
        <v>311</v>
      </c>
      <c r="E132">
        <v>200</v>
      </c>
      <c r="F132" s="71">
        <f t="shared" si="4"/>
        <v>200</v>
      </c>
      <c r="G132">
        <v>255</v>
      </c>
      <c r="H132" s="71">
        <f t="shared" si="5"/>
        <v>255</v>
      </c>
      <c r="I132">
        <v>10.1</v>
      </c>
      <c r="J132" s="71">
        <f t="shared" si="6"/>
        <v>10.1</v>
      </c>
      <c r="K132">
        <v>313</v>
      </c>
      <c r="L132" s="102">
        <f t="shared" si="7"/>
        <v>313</v>
      </c>
    </row>
    <row r="133" spans="4:12" ht="15.6">
      <c r="D133" t="s">
        <v>443</v>
      </c>
      <c r="E133">
        <v>923</v>
      </c>
      <c r="F133" s="71">
        <f t="shared" ref="F133:F144" si="8">E133</f>
        <v>923</v>
      </c>
      <c r="G133">
        <v>162</v>
      </c>
      <c r="H133" s="71">
        <f t="shared" ref="H133:H144" si="9">G133</f>
        <v>162</v>
      </c>
      <c r="I133">
        <v>5</v>
      </c>
      <c r="J133" s="71">
        <f t="shared" ref="J133:J144" si="10">I133</f>
        <v>5</v>
      </c>
      <c r="K133">
        <v>674</v>
      </c>
      <c r="L133" s="102">
        <f t="shared" ref="L133:L144" si="11">K133</f>
        <v>674</v>
      </c>
    </row>
    <row r="134" spans="4:12" ht="15.6">
      <c r="D134" t="s">
        <v>444</v>
      </c>
      <c r="E134">
        <v>120</v>
      </c>
      <c r="F134" s="71">
        <f t="shared" si="8"/>
        <v>120</v>
      </c>
      <c r="G134">
        <v>165</v>
      </c>
      <c r="H134" s="71">
        <f t="shared" si="9"/>
        <v>165</v>
      </c>
      <c r="I134">
        <v>8.9</v>
      </c>
      <c r="J134" s="71">
        <f t="shared" si="10"/>
        <v>8.9</v>
      </c>
      <c r="K134">
        <v>427</v>
      </c>
      <c r="L134" s="102">
        <f t="shared" si="11"/>
        <v>427</v>
      </c>
    </row>
    <row r="135" spans="4:12" ht="15.6">
      <c r="D135" t="s">
        <v>445</v>
      </c>
      <c r="E135">
        <v>886</v>
      </c>
      <c r="F135" s="71">
        <f t="shared" si="8"/>
        <v>886</v>
      </c>
      <c r="G135">
        <v>152</v>
      </c>
      <c r="H135" s="71">
        <f t="shared" si="9"/>
        <v>152</v>
      </c>
      <c r="I135">
        <v>9</v>
      </c>
      <c r="J135" s="71">
        <f t="shared" si="10"/>
        <v>9</v>
      </c>
      <c r="K135">
        <v>416</v>
      </c>
      <c r="L135" s="102">
        <f t="shared" si="11"/>
        <v>416</v>
      </c>
    </row>
    <row r="136" spans="4:12" ht="15.6">
      <c r="D136" t="s">
        <v>312</v>
      </c>
      <c r="E136">
        <v>201</v>
      </c>
      <c r="F136" s="71">
        <f t="shared" si="8"/>
        <v>201</v>
      </c>
      <c r="G136">
        <v>170</v>
      </c>
      <c r="H136" s="71">
        <f t="shared" si="9"/>
        <v>170</v>
      </c>
      <c r="I136">
        <v>9.1</v>
      </c>
      <c r="J136" s="71">
        <f t="shared" si="10"/>
        <v>9.1</v>
      </c>
      <c r="K136">
        <v>586</v>
      </c>
      <c r="L136" s="102">
        <f t="shared" si="11"/>
        <v>586</v>
      </c>
    </row>
    <row r="137" spans="4:12" ht="15.6">
      <c r="D137" t="s">
        <v>446</v>
      </c>
      <c r="E137">
        <v>917</v>
      </c>
      <c r="F137" s="71">
        <f t="shared" si="8"/>
        <v>917</v>
      </c>
      <c r="G137">
        <v>146</v>
      </c>
      <c r="H137" s="71">
        <f t="shared" si="9"/>
        <v>146</v>
      </c>
      <c r="I137">
        <v>8.6</v>
      </c>
      <c r="J137" s="71">
        <f t="shared" si="10"/>
        <v>8.6</v>
      </c>
      <c r="K137">
        <v>566</v>
      </c>
      <c r="L137" s="102">
        <f t="shared" si="11"/>
        <v>566</v>
      </c>
    </row>
    <row r="138" spans="4:12" ht="15.6">
      <c r="D138" t="s">
        <v>447</v>
      </c>
      <c r="E138">
        <v>916</v>
      </c>
      <c r="F138" s="71">
        <f t="shared" si="8"/>
        <v>916</v>
      </c>
      <c r="G138">
        <v>22</v>
      </c>
      <c r="H138" s="71">
        <f t="shared" si="9"/>
        <v>22</v>
      </c>
      <c r="I138">
        <v>7.3</v>
      </c>
      <c r="J138" s="71">
        <f t="shared" si="10"/>
        <v>7.3</v>
      </c>
      <c r="K138">
        <v>828</v>
      </c>
      <c r="L138" s="102">
        <f t="shared" si="11"/>
        <v>828</v>
      </c>
    </row>
    <row r="139" spans="4:12" ht="15.6">
      <c r="D139" t="s">
        <v>448</v>
      </c>
      <c r="E139">
        <v>916</v>
      </c>
      <c r="F139" s="71">
        <f t="shared" si="8"/>
        <v>916</v>
      </c>
      <c r="G139">
        <v>61</v>
      </c>
      <c r="H139" s="71">
        <f t="shared" si="9"/>
        <v>61</v>
      </c>
      <c r="I139">
        <v>8.9</v>
      </c>
      <c r="J139" s="71">
        <f t="shared" si="10"/>
        <v>8.9</v>
      </c>
      <c r="K139">
        <v>701</v>
      </c>
      <c r="L139" s="102">
        <f t="shared" si="11"/>
        <v>701</v>
      </c>
    </row>
    <row r="140" spans="4:12" ht="15.6">
      <c r="D140" t="s">
        <v>449</v>
      </c>
      <c r="E140">
        <v>916</v>
      </c>
      <c r="F140" s="71">
        <f t="shared" si="8"/>
        <v>916</v>
      </c>
      <c r="G140">
        <v>42</v>
      </c>
      <c r="H140" s="71">
        <f t="shared" si="9"/>
        <v>42</v>
      </c>
      <c r="I140">
        <v>8.1</v>
      </c>
      <c r="J140" s="71">
        <f t="shared" si="10"/>
        <v>8.1</v>
      </c>
      <c r="K140">
        <v>764</v>
      </c>
      <c r="L140" s="102">
        <f t="shared" si="11"/>
        <v>764</v>
      </c>
    </row>
    <row r="141" spans="4:12" ht="15.6">
      <c r="D141" t="s">
        <v>313</v>
      </c>
      <c r="E141">
        <v>190</v>
      </c>
      <c r="F141" s="71">
        <f t="shared" si="8"/>
        <v>190</v>
      </c>
      <c r="G141">
        <v>193</v>
      </c>
      <c r="H141" s="71">
        <f t="shared" si="9"/>
        <v>193</v>
      </c>
      <c r="I141">
        <v>8.8000000000000007</v>
      </c>
      <c r="J141" s="71">
        <f t="shared" si="10"/>
        <v>8.8000000000000007</v>
      </c>
      <c r="K141">
        <v>494</v>
      </c>
      <c r="L141" s="102">
        <f t="shared" si="11"/>
        <v>494</v>
      </c>
    </row>
    <row r="142" spans="4:12" ht="15.6">
      <c r="D142" t="s">
        <v>314</v>
      </c>
      <c r="E142">
        <v>193</v>
      </c>
      <c r="F142" s="71">
        <f t="shared" si="8"/>
        <v>193</v>
      </c>
      <c r="G142">
        <v>230</v>
      </c>
      <c r="H142" s="71">
        <f t="shared" si="9"/>
        <v>230</v>
      </c>
      <c r="I142">
        <v>9.8000000000000007</v>
      </c>
      <c r="J142" s="71">
        <f t="shared" si="10"/>
        <v>9.8000000000000007</v>
      </c>
      <c r="K142">
        <v>367</v>
      </c>
      <c r="L142" s="102">
        <f t="shared" si="11"/>
        <v>367</v>
      </c>
    </row>
    <row r="143" spans="4:12" ht="15.6">
      <c r="D143" t="s">
        <v>450</v>
      </c>
      <c r="E143">
        <v>899</v>
      </c>
      <c r="F143" s="71">
        <f t="shared" si="8"/>
        <v>899</v>
      </c>
      <c r="G143">
        <v>209</v>
      </c>
      <c r="H143" s="71">
        <f t="shared" si="9"/>
        <v>209</v>
      </c>
      <c r="I143">
        <v>8.9</v>
      </c>
      <c r="J143" s="71">
        <f t="shared" si="10"/>
        <v>8.9</v>
      </c>
      <c r="K143">
        <v>421</v>
      </c>
      <c r="L143" s="102">
        <f t="shared" si="11"/>
        <v>421</v>
      </c>
    </row>
    <row r="144" spans="4:12" ht="15.6">
      <c r="D144" t="s">
        <v>451</v>
      </c>
      <c r="E144">
        <v>912</v>
      </c>
      <c r="F144" s="71">
        <f t="shared" si="8"/>
        <v>912</v>
      </c>
      <c r="G144">
        <v>64</v>
      </c>
      <c r="H144" s="71">
        <f t="shared" si="9"/>
        <v>64</v>
      </c>
      <c r="I144">
        <v>7.7</v>
      </c>
      <c r="J144" s="71">
        <f t="shared" si="10"/>
        <v>7.7</v>
      </c>
      <c r="K144">
        <v>659</v>
      </c>
      <c r="L144" s="102">
        <f t="shared" si="11"/>
        <v>659</v>
      </c>
    </row>
  </sheetData>
  <sheetProtection sort="0" autoFilter="0"/>
  <protectedRanges>
    <protectedRange sqref="F4:F144 H4:H144 J4:J144" name="Range3"/>
  </protectedRanges>
  <mergeCells count="3">
    <mergeCell ref="E1:F1"/>
    <mergeCell ref="G1:H1"/>
    <mergeCell ref="I1:J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7D9B1-C182-4CF1-BEB8-F7AD46F132FE}">
  <sheetPr>
    <tabColor rgb="FF0070C0"/>
  </sheetPr>
  <dimension ref="B1:Y77"/>
  <sheetViews>
    <sheetView showGridLines="0" zoomScale="103" workbookViewId="0">
      <selection activeCell="C58" sqref="C58"/>
    </sheetView>
  </sheetViews>
  <sheetFormatPr defaultColWidth="8.5" defaultRowHeight="14"/>
  <cols>
    <col min="1" max="1" width="8.5" style="33"/>
    <col min="2" max="2" width="28.5" style="33" customWidth="1"/>
    <col min="3" max="5" width="11.19921875" style="33" customWidth="1"/>
    <col min="6" max="7" width="13.5" style="33" customWidth="1"/>
    <col min="8" max="13" width="11.19921875" style="33" customWidth="1"/>
    <col min="14" max="14" width="11.3984375" style="33" customWidth="1"/>
    <col min="15" max="15" width="11.5" style="33" customWidth="1"/>
    <col min="16" max="16" width="11.09765625" style="33" customWidth="1"/>
    <col min="17" max="17" width="11.8984375" style="33" customWidth="1"/>
    <col min="18" max="18" width="11.59765625" style="33" customWidth="1"/>
    <col min="19" max="19" width="10.796875" style="33" customWidth="1"/>
    <col min="20" max="21" width="8.5" style="33"/>
    <col min="22" max="22" width="20.19921875" style="33" customWidth="1"/>
    <col min="23" max="23" width="13.69921875" style="33" customWidth="1"/>
    <col min="24" max="24" width="14.09765625" style="33" customWidth="1"/>
    <col min="25" max="25" width="15.5" style="33" customWidth="1"/>
    <col min="26" max="16384" width="8.5" style="33"/>
  </cols>
  <sheetData>
    <row r="1" spans="2:25" ht="14.55" thickBot="1"/>
    <row r="2" spans="2:25" ht="27.95">
      <c r="B2" s="34" t="s">
        <v>221</v>
      </c>
      <c r="C2" s="35" t="s">
        <v>222</v>
      </c>
      <c r="D2" s="35"/>
      <c r="E2" s="35"/>
      <c r="F2" s="36"/>
      <c r="G2" s="36"/>
      <c r="H2" s="36"/>
      <c r="I2" s="36"/>
      <c r="J2" s="36"/>
      <c r="K2" s="36"/>
      <c r="L2" s="36"/>
      <c r="M2" s="36"/>
      <c r="V2" s="92" t="s">
        <v>291</v>
      </c>
      <c r="W2" s="37" t="s">
        <v>223</v>
      </c>
      <c r="X2" s="37" t="s">
        <v>292</v>
      </c>
      <c r="Y2" s="38"/>
    </row>
    <row r="3" spans="2:25" ht="14.55" thickBot="1">
      <c r="B3" s="34" t="s">
        <v>224</v>
      </c>
      <c r="C3" s="39"/>
      <c r="D3" s="40" t="s">
        <v>225</v>
      </c>
      <c r="E3" s="40" t="s">
        <v>226</v>
      </c>
      <c r="F3" s="41"/>
      <c r="G3" s="41" t="s">
        <v>456</v>
      </c>
      <c r="H3" s="45">
        <f>C23</f>
        <v>500</v>
      </c>
      <c r="N3" s="97"/>
      <c r="O3" s="98"/>
      <c r="V3" s="100">
        <f>(FirstCuttingYieldValue+'Growing &amp; harvesting'!F4+'Growing &amp; harvesting'!H4+'Growing &amp; harvesting'!J4+'Growing &amp; harvesting'!L4+'Growing &amp; harvesting'!N4+'Growing &amp; harvesting'!P4+'Growing &amp; harvesting'!R4)*2.471/PlotSizeHa</f>
        <v>543.62</v>
      </c>
      <c r="W3" s="42">
        <f>SUM($V$3*(VLOOKUP('Farm plot info'!C13,'Feed library'!D4:K26,2,FALSE)/1000))</f>
        <v>122.85812</v>
      </c>
      <c r="X3" s="42">
        <f>SUM(B73/V3)</f>
        <v>0.1913178511686569</v>
      </c>
      <c r="Y3" s="43"/>
    </row>
    <row r="4" spans="2:25" ht="14.55" thickBot="1">
      <c r="B4" s="44" t="s">
        <v>227</v>
      </c>
      <c r="C4" s="44"/>
      <c r="D4" s="44"/>
      <c r="E4" s="44"/>
      <c r="F4" s="46"/>
      <c r="G4" s="46" t="s">
        <v>54</v>
      </c>
      <c r="H4" s="45">
        <f>SUM(C37:S37)</f>
        <v>55</v>
      </c>
      <c r="I4" s="45"/>
      <c r="J4" s="45"/>
      <c r="K4" s="45"/>
      <c r="L4" s="45"/>
      <c r="M4" s="45"/>
    </row>
    <row r="5" spans="2:25">
      <c r="B5" s="47"/>
      <c r="C5" s="50">
        <f>'Farm plot info'!C18</f>
        <v>1000</v>
      </c>
      <c r="D5" s="48"/>
      <c r="E5" s="48"/>
      <c r="F5" s="45"/>
      <c r="G5" s="46" t="s">
        <v>458</v>
      </c>
      <c r="H5" s="45">
        <f>SUM(C45:S45)</f>
        <v>175</v>
      </c>
      <c r="I5" s="45"/>
      <c r="J5" s="45"/>
      <c r="K5" s="45"/>
      <c r="L5" s="45"/>
      <c r="M5" s="45"/>
      <c r="N5" s="99"/>
      <c r="V5" s="235" t="s">
        <v>293</v>
      </c>
      <c r="W5" s="236"/>
      <c r="X5" s="237"/>
    </row>
    <row r="6" spans="2:25">
      <c r="B6" s="44" t="s">
        <v>228</v>
      </c>
      <c r="C6" s="44"/>
      <c r="D6" s="44"/>
      <c r="E6" s="44"/>
      <c r="F6" s="45"/>
      <c r="G6" s="46" t="s">
        <v>457</v>
      </c>
      <c r="H6" s="45">
        <f>SUM(C50:S50)</f>
        <v>300</v>
      </c>
      <c r="I6" s="45"/>
      <c r="J6" s="45"/>
      <c r="K6" s="45"/>
      <c r="L6" s="45"/>
      <c r="M6" s="45"/>
      <c r="V6" s="93" t="s">
        <v>294</v>
      </c>
      <c r="W6" s="33" t="s">
        <v>229</v>
      </c>
      <c r="X6" s="94" t="s">
        <v>295</v>
      </c>
    </row>
    <row r="7" spans="2:25" ht="14.55" thickBot="1">
      <c r="B7" s="47"/>
      <c r="C7" s="48">
        <f>'Pre-planting costs'!D4</f>
        <v>0</v>
      </c>
      <c r="D7" s="47">
        <f>IFERROR(_xlfn.IFS('Pre-planting costs'!B3="Soil sampling bags","Soil sampling bags"),100)</f>
        <v>100</v>
      </c>
      <c r="E7" s="48">
        <f>'Pre-planting costs'!D3</f>
        <v>0</v>
      </c>
      <c r="F7" s="45"/>
      <c r="G7" s="46" t="s">
        <v>459</v>
      </c>
      <c r="H7" s="45">
        <f>SUM(C58:S58)</f>
        <v>75</v>
      </c>
      <c r="I7" s="45"/>
      <c r="J7" s="45"/>
      <c r="K7" s="45"/>
      <c r="L7" s="45"/>
      <c r="M7" s="45"/>
      <c r="N7" s="97"/>
      <c r="V7" s="101">
        <f>SUM($X$3/(VLOOKUP('Farm plot info'!C13,'Feed library'!D2:K25,2,FALSE)/1000))</f>
        <v>0.84653916446308364</v>
      </c>
      <c r="W7" s="42">
        <f>SUM($V$7/(VLOOKUP('Farm plot info'!C13,'Feed library'!D2:K25,6,FALSE)))</f>
        <v>9.511676005203186E-2</v>
      </c>
      <c r="X7" s="95">
        <f>SUM(1000/(VLOOKUP('Farm plot info'!C13,'Feed library'!D2:K25,3,FALSE)))*CALCULATIONS!V7</f>
        <v>3.7457485153233789</v>
      </c>
    </row>
    <row r="8" spans="2:25" ht="14.55" thickBot="1">
      <c r="B8" s="47"/>
      <c r="C8" s="48">
        <f>'Pre-planting costs'!D5</f>
        <v>0</v>
      </c>
      <c r="D8" s="48"/>
      <c r="E8" s="44"/>
      <c r="F8" s="45"/>
      <c r="G8" s="46" t="s">
        <v>460</v>
      </c>
      <c r="H8" s="45">
        <f>SUM(C64:S64)</f>
        <v>80</v>
      </c>
      <c r="I8" s="45"/>
      <c r="J8" s="45"/>
      <c r="K8" s="45"/>
      <c r="L8" s="45"/>
      <c r="M8" s="45"/>
      <c r="V8" s="33" t="s">
        <v>230</v>
      </c>
    </row>
    <row r="9" spans="2:25" ht="14.55" thickBot="1">
      <c r="B9" s="47"/>
      <c r="C9" s="48">
        <f>'Pre-planting costs'!D6</f>
        <v>0</v>
      </c>
      <c r="D9" s="48"/>
      <c r="E9" s="44"/>
      <c r="F9" s="45"/>
      <c r="G9" s="45"/>
      <c r="H9" s="45"/>
      <c r="I9" s="45"/>
      <c r="J9" s="45"/>
      <c r="K9" s="45"/>
      <c r="L9" s="45"/>
      <c r="M9" s="45"/>
      <c r="V9" s="96">
        <f>IFERROR(SUM(130/((VLOOKUP('Farm plot info'!C13,'Feed library'!D2:K25,5,FALSE))/10)),"")</f>
        <v>10</v>
      </c>
    </row>
    <row r="10" spans="2:25">
      <c r="B10" s="44" t="s">
        <v>52</v>
      </c>
      <c r="C10" s="44"/>
      <c r="D10" s="44"/>
      <c r="E10" s="44"/>
      <c r="F10" s="45"/>
      <c r="G10" s="45"/>
      <c r="H10" s="45"/>
      <c r="I10" s="45"/>
      <c r="J10" s="45"/>
      <c r="K10" s="45"/>
      <c r="L10" s="45"/>
      <c r="M10" s="45"/>
    </row>
    <row r="11" spans="2:25">
      <c r="B11" s="47"/>
      <c r="C11" s="48">
        <f>'Pre-planting costs'!D9</f>
        <v>0</v>
      </c>
      <c r="D11" s="47" t="str">
        <f>IFERROR(_xlfn.IFS('Pre-planting costs'!B15="Herbicide","Herbicide"),100)</f>
        <v>Herbicide</v>
      </c>
      <c r="E11" s="48">
        <f>'Pre-planting costs'!D8</f>
        <v>0</v>
      </c>
      <c r="F11" s="45"/>
      <c r="G11" s="45"/>
      <c r="H11" s="45"/>
      <c r="I11" s="45"/>
      <c r="J11" s="45"/>
      <c r="K11" s="45"/>
      <c r="L11" s="45"/>
      <c r="M11" s="45"/>
    </row>
    <row r="12" spans="2:25">
      <c r="B12" s="47"/>
      <c r="C12" s="48">
        <f>'Pre-planting costs'!D10</f>
        <v>0</v>
      </c>
      <c r="D12" s="48"/>
      <c r="E12" s="48"/>
      <c r="F12" s="45"/>
      <c r="G12" s="45"/>
      <c r="H12" s="45"/>
      <c r="I12" s="45"/>
      <c r="J12" s="45"/>
      <c r="K12" s="45"/>
      <c r="L12" s="45"/>
      <c r="M12" s="45"/>
    </row>
    <row r="13" spans="2:25">
      <c r="B13" s="47"/>
      <c r="C13" s="48">
        <f>'Pre-planting costs'!D11</f>
        <v>0</v>
      </c>
      <c r="D13" s="48"/>
      <c r="E13" s="48"/>
      <c r="F13" s="45"/>
      <c r="G13" s="45"/>
      <c r="H13" s="45"/>
      <c r="I13" s="45"/>
      <c r="J13" s="45"/>
      <c r="K13" s="45"/>
      <c r="L13" s="45"/>
      <c r="M13" s="45"/>
    </row>
    <row r="14" spans="2:25">
      <c r="B14" s="47"/>
      <c r="C14" s="48">
        <f>'Pre-planting costs'!D12</f>
        <v>0</v>
      </c>
      <c r="D14" s="48"/>
      <c r="E14" s="48"/>
      <c r="F14" s="45"/>
      <c r="G14" s="45"/>
      <c r="H14" s="45"/>
      <c r="I14" s="45"/>
      <c r="J14" s="45"/>
      <c r="K14" s="45"/>
      <c r="L14" s="45"/>
      <c r="M14" s="45"/>
    </row>
    <row r="15" spans="2:25">
      <c r="B15" s="47"/>
      <c r="C15" s="48">
        <f>'Pre-planting costs'!D13</f>
        <v>0</v>
      </c>
      <c r="D15" s="48"/>
      <c r="E15" s="48"/>
      <c r="F15" s="45"/>
      <c r="G15" s="45"/>
      <c r="H15" s="45"/>
      <c r="I15" s="45"/>
      <c r="J15" s="45"/>
      <c r="K15" s="45"/>
      <c r="L15" s="45"/>
      <c r="M15" s="45"/>
    </row>
    <row r="16" spans="2:25">
      <c r="B16" s="47"/>
      <c r="C16" s="48"/>
      <c r="D16" s="48"/>
      <c r="E16" s="48"/>
      <c r="F16" s="45"/>
      <c r="G16" s="45"/>
      <c r="H16" s="45"/>
      <c r="I16" s="45"/>
      <c r="J16" s="45"/>
      <c r="K16" s="45"/>
      <c r="L16" s="45"/>
      <c r="M16" s="45"/>
    </row>
    <row r="17" spans="2:19">
      <c r="B17" s="44" t="s">
        <v>50</v>
      </c>
      <c r="C17" s="48">
        <f>'Pre-planting costs'!D16</f>
        <v>500</v>
      </c>
      <c r="D17" s="44"/>
      <c r="E17" s="44"/>
      <c r="F17" s="45"/>
      <c r="G17" s="45"/>
      <c r="H17" s="45"/>
      <c r="I17" s="45"/>
      <c r="J17" s="45"/>
      <c r="K17" s="45"/>
      <c r="L17" s="45"/>
      <c r="M17" s="45"/>
    </row>
    <row r="18" spans="2:19">
      <c r="B18" s="47"/>
      <c r="C18" s="48">
        <f>'Pre-planting costs'!D17</f>
        <v>0</v>
      </c>
      <c r="D18" s="47">
        <f>IFERROR(_xlfn.IFS('Pre-planting costs'!B8="Herbicide","Herbicide"),100)</f>
        <v>100</v>
      </c>
      <c r="E18" s="48">
        <f>'Pre-planting costs'!D15</f>
        <v>100</v>
      </c>
      <c r="F18" s="45"/>
      <c r="G18" s="45"/>
      <c r="H18" s="45"/>
      <c r="I18" s="45"/>
      <c r="J18" s="45"/>
      <c r="K18" s="45"/>
      <c r="L18" s="45"/>
      <c r="M18" s="45"/>
    </row>
    <row r="19" spans="2:19">
      <c r="B19" s="47"/>
      <c r="C19" s="48">
        <f>'Pre-planting costs'!D18</f>
        <v>0</v>
      </c>
      <c r="D19" s="48"/>
      <c r="E19" s="48"/>
      <c r="F19" s="45"/>
      <c r="G19" s="45"/>
      <c r="H19" s="45"/>
      <c r="I19" s="45"/>
      <c r="J19" s="45"/>
      <c r="K19" s="45"/>
      <c r="L19" s="45"/>
      <c r="M19" s="45"/>
    </row>
    <row r="20" spans="2:19">
      <c r="B20" s="47"/>
      <c r="C20" s="48">
        <f>'Pre-planting costs'!D19</f>
        <v>0</v>
      </c>
      <c r="D20" s="48"/>
      <c r="E20" s="48"/>
      <c r="F20" s="45"/>
      <c r="G20" s="45"/>
      <c r="H20" s="45"/>
      <c r="I20" s="45"/>
      <c r="J20" s="45"/>
      <c r="K20" s="45"/>
      <c r="L20" s="45"/>
      <c r="M20" s="45"/>
    </row>
    <row r="21" spans="2:19">
      <c r="B21" s="47"/>
      <c r="C21" s="48">
        <f>'Pre-planting costs'!D20</f>
        <v>0</v>
      </c>
      <c r="D21" s="48"/>
      <c r="E21" s="48"/>
      <c r="F21" s="45"/>
      <c r="G21" s="45"/>
      <c r="H21" s="45"/>
      <c r="I21" s="45"/>
      <c r="J21" s="45"/>
      <c r="K21" s="45"/>
      <c r="L21" s="45"/>
      <c r="M21" s="45"/>
    </row>
    <row r="22" spans="2:19">
      <c r="B22" s="47"/>
      <c r="C22" s="48">
        <f>'Pre-planting costs'!D21</f>
        <v>0</v>
      </c>
      <c r="D22" s="48"/>
      <c r="E22" s="48"/>
      <c r="F22" s="45"/>
      <c r="G22" s="45"/>
      <c r="H22" s="45"/>
      <c r="I22" s="45"/>
      <c r="J22" s="45"/>
      <c r="K22" s="45"/>
      <c r="L22" s="45"/>
      <c r="M22" s="45"/>
    </row>
    <row r="23" spans="2:19" ht="14.55" thickBot="1">
      <c r="B23" s="49" t="s">
        <v>231</v>
      </c>
      <c r="C23" s="90">
        <f>SUM(C7:C9,C11:C15,C17:C22)</f>
        <v>500</v>
      </c>
      <c r="D23" s="91" t="s">
        <v>231</v>
      </c>
      <c r="E23" s="90">
        <f>SUM(E7,E11,E18)</f>
        <v>100</v>
      </c>
      <c r="F23" s="45"/>
      <c r="G23" s="45"/>
      <c r="H23" s="45"/>
      <c r="I23" s="45"/>
      <c r="J23" s="45"/>
      <c r="K23" s="45"/>
      <c r="L23" s="45"/>
      <c r="M23" s="45"/>
    </row>
    <row r="24" spans="2:19" ht="14.55" thickBot="1">
      <c r="B24" s="89"/>
      <c r="C24" s="238" t="s">
        <v>281</v>
      </c>
      <c r="D24" s="239"/>
      <c r="E24" s="240"/>
      <c r="F24" s="241" t="s">
        <v>282</v>
      </c>
      <c r="G24" s="234"/>
      <c r="H24" s="233" t="s">
        <v>283</v>
      </c>
      <c r="I24" s="234"/>
      <c r="J24" s="233" t="s">
        <v>284</v>
      </c>
      <c r="K24" s="234"/>
      <c r="L24" s="233" t="s">
        <v>285</v>
      </c>
      <c r="M24" s="234"/>
      <c r="N24" s="233" t="s">
        <v>286</v>
      </c>
      <c r="O24" s="234"/>
      <c r="P24" s="233" t="s">
        <v>287</v>
      </c>
      <c r="Q24" s="234"/>
      <c r="R24" s="233" t="s">
        <v>288</v>
      </c>
      <c r="S24" s="234"/>
    </row>
    <row r="25" spans="2:19">
      <c r="B25" s="34" t="s">
        <v>289</v>
      </c>
      <c r="C25" s="72" t="s">
        <v>74</v>
      </c>
      <c r="D25" s="72" t="s">
        <v>75</v>
      </c>
      <c r="E25" s="72" t="s">
        <v>232</v>
      </c>
      <c r="F25" s="87"/>
      <c r="G25" s="88" t="s">
        <v>232</v>
      </c>
      <c r="H25" s="73"/>
      <c r="I25" s="74" t="s">
        <v>232</v>
      </c>
      <c r="J25" s="73"/>
      <c r="K25" s="74" t="s">
        <v>232</v>
      </c>
      <c r="L25" s="79"/>
      <c r="M25" s="74" t="s">
        <v>232</v>
      </c>
      <c r="N25" s="79"/>
      <c r="O25" s="74" t="s">
        <v>232</v>
      </c>
      <c r="P25" s="79"/>
      <c r="Q25" s="83" t="s">
        <v>232</v>
      </c>
      <c r="R25" s="79"/>
      <c r="S25" s="74" t="s">
        <v>232</v>
      </c>
    </row>
    <row r="26" spans="2:19">
      <c r="B26" s="47"/>
      <c r="C26" s="48">
        <f>'Growing &amp; harvesting'!D10</f>
        <v>0</v>
      </c>
      <c r="D26" s="48"/>
      <c r="E26" s="48">
        <f>'Growing &amp; harvesting'!D9</f>
        <v>55</v>
      </c>
      <c r="F26" s="75">
        <f>'Growing &amp; harvesting'!F10</f>
        <v>0</v>
      </c>
      <c r="G26" s="76">
        <f>'Growing &amp; harvesting'!F9</f>
        <v>0</v>
      </c>
      <c r="H26" s="75">
        <f>'Growing &amp; harvesting'!H10</f>
        <v>0</v>
      </c>
      <c r="I26" s="76">
        <f>'Growing &amp; harvesting'!H9</f>
        <v>0</v>
      </c>
      <c r="J26" s="75">
        <f>'Growing &amp; harvesting'!J10</f>
        <v>0</v>
      </c>
      <c r="K26" s="76">
        <f>'Growing &amp; harvesting'!J9</f>
        <v>0</v>
      </c>
      <c r="L26" s="75">
        <f>'Growing &amp; harvesting'!L10</f>
        <v>0</v>
      </c>
      <c r="M26" s="76">
        <f>'Growing &amp; harvesting'!L9</f>
        <v>0</v>
      </c>
      <c r="N26" s="75">
        <f>'Growing &amp; harvesting'!N10</f>
        <v>0</v>
      </c>
      <c r="O26" s="76">
        <f>'Growing &amp; harvesting'!N9</f>
        <v>0</v>
      </c>
      <c r="P26" s="75">
        <f>'Growing &amp; harvesting'!P10</f>
        <v>0</v>
      </c>
      <c r="Q26" s="76">
        <f>'Growing &amp; harvesting'!P9</f>
        <v>0</v>
      </c>
      <c r="R26" s="75">
        <f>'Growing &amp; harvesting'!R10</f>
        <v>0</v>
      </c>
      <c r="S26" s="76">
        <f>'Growing &amp; harvesting'!R9</f>
        <v>0</v>
      </c>
    </row>
    <row r="27" spans="2:19">
      <c r="B27" s="47"/>
      <c r="C27" s="48">
        <f>'Growing &amp; harvesting'!D12</f>
        <v>0</v>
      </c>
      <c r="D27" s="48"/>
      <c r="E27" s="48">
        <f>'Growing &amp; harvesting'!D11</f>
        <v>0</v>
      </c>
      <c r="F27" s="75">
        <f>'Growing &amp; harvesting'!F12</f>
        <v>0</v>
      </c>
      <c r="G27" s="76">
        <f>'Growing &amp; harvesting'!F11</f>
        <v>0</v>
      </c>
      <c r="H27" s="75">
        <f>'Growing &amp; harvesting'!H12</f>
        <v>0</v>
      </c>
      <c r="I27" s="76">
        <f>'Growing &amp; harvesting'!H11</f>
        <v>0</v>
      </c>
      <c r="J27" s="75">
        <f>'Growing &amp; harvesting'!J12</f>
        <v>0</v>
      </c>
      <c r="K27" s="76">
        <f>'Growing &amp; harvesting'!J11</f>
        <v>0</v>
      </c>
      <c r="L27" s="75">
        <f>'Growing &amp; harvesting'!L12</f>
        <v>0</v>
      </c>
      <c r="M27" s="76">
        <f>'Growing &amp; harvesting'!L11</f>
        <v>0</v>
      </c>
      <c r="N27" s="75">
        <f>'Growing &amp; harvesting'!N12</f>
        <v>0</v>
      </c>
      <c r="O27" s="76">
        <f>'Growing &amp; harvesting'!N11</f>
        <v>0</v>
      </c>
      <c r="P27" s="75">
        <f>'Growing &amp; harvesting'!P12</f>
        <v>0</v>
      </c>
      <c r="Q27" s="76">
        <f>'Growing &amp; harvesting'!P11</f>
        <v>0</v>
      </c>
      <c r="R27" s="75">
        <f>'Growing &amp; harvesting'!R12</f>
        <v>0</v>
      </c>
      <c r="S27" s="76">
        <f>'Growing &amp; harvesting'!R11</f>
        <v>0</v>
      </c>
    </row>
    <row r="28" spans="2:19">
      <c r="B28" s="47"/>
      <c r="C28" s="48">
        <f>'Growing &amp; harvesting'!D14</f>
        <v>0</v>
      </c>
      <c r="D28" s="48"/>
      <c r="E28" s="48">
        <f>'Growing &amp; harvesting'!D13</f>
        <v>0</v>
      </c>
      <c r="F28" s="75">
        <f>'Growing &amp; harvesting'!F14</f>
        <v>0</v>
      </c>
      <c r="G28" s="76">
        <f>'Growing &amp; harvesting'!F13</f>
        <v>0</v>
      </c>
      <c r="H28" s="75">
        <f>'Growing &amp; harvesting'!H14</f>
        <v>0</v>
      </c>
      <c r="I28" s="76">
        <f>'Growing &amp; harvesting'!H13</f>
        <v>0</v>
      </c>
      <c r="J28" s="75">
        <f>'Growing &amp; harvesting'!J14</f>
        <v>0</v>
      </c>
      <c r="K28" s="76">
        <f>'Growing &amp; harvesting'!J13</f>
        <v>0</v>
      </c>
      <c r="L28" s="75">
        <f>'Growing &amp; harvesting'!L14</f>
        <v>0</v>
      </c>
      <c r="M28" s="76">
        <f>'Growing &amp; harvesting'!L13</f>
        <v>0</v>
      </c>
      <c r="N28" s="75">
        <f>'Growing &amp; harvesting'!N14</f>
        <v>0</v>
      </c>
      <c r="O28" s="76">
        <f>'Growing &amp; harvesting'!N13</f>
        <v>0</v>
      </c>
      <c r="P28" s="75">
        <f>'Growing &amp; harvesting'!P14</f>
        <v>0</v>
      </c>
      <c r="Q28" s="76">
        <f>'Growing &amp; harvesting'!P13</f>
        <v>0</v>
      </c>
      <c r="R28" s="75">
        <f>'Growing &amp; harvesting'!R14</f>
        <v>0</v>
      </c>
      <c r="S28" s="76">
        <f>'Growing &amp; harvesting'!R13</f>
        <v>0</v>
      </c>
    </row>
    <row r="29" spans="2:19">
      <c r="B29" s="47"/>
      <c r="C29" s="48">
        <f>'Growing &amp; harvesting'!D16</f>
        <v>0</v>
      </c>
      <c r="D29" s="48"/>
      <c r="E29" s="48">
        <f>'Growing &amp; harvesting'!D15</f>
        <v>0</v>
      </c>
      <c r="F29" s="75">
        <f>'Growing &amp; harvesting'!F16</f>
        <v>0</v>
      </c>
      <c r="G29" s="76">
        <f>'Growing &amp; harvesting'!F15</f>
        <v>0</v>
      </c>
      <c r="H29" s="75">
        <f>'Growing &amp; harvesting'!H16</f>
        <v>0</v>
      </c>
      <c r="I29" s="76">
        <f>'Growing &amp; harvesting'!H15</f>
        <v>0</v>
      </c>
      <c r="J29" s="75">
        <f>'Growing &amp; harvesting'!J16</f>
        <v>0</v>
      </c>
      <c r="K29" s="76">
        <f>'Growing &amp; harvesting'!J15</f>
        <v>0</v>
      </c>
      <c r="L29" s="75">
        <f>'Growing &amp; harvesting'!L16</f>
        <v>0</v>
      </c>
      <c r="M29" s="76">
        <f>'Growing &amp; harvesting'!L15</f>
        <v>0</v>
      </c>
      <c r="N29" s="75">
        <f>'Growing &amp; harvesting'!N16</f>
        <v>0</v>
      </c>
      <c r="O29" s="76">
        <f>'Growing &amp; harvesting'!N15</f>
        <v>0</v>
      </c>
      <c r="P29" s="75">
        <f>'Growing &amp; harvesting'!P16</f>
        <v>0</v>
      </c>
      <c r="Q29" s="76">
        <f>'Growing &amp; harvesting'!P15</f>
        <v>0</v>
      </c>
      <c r="R29" s="75">
        <f>'Growing &amp; harvesting'!R16</f>
        <v>0</v>
      </c>
      <c r="S29" s="76">
        <f>'Growing &amp; harvesting'!R15</f>
        <v>0</v>
      </c>
    </row>
    <row r="30" spans="2:19">
      <c r="B30" s="47"/>
      <c r="C30" s="48">
        <f>'Growing &amp; harvesting'!D18</f>
        <v>0</v>
      </c>
      <c r="D30" s="48"/>
      <c r="E30" s="48">
        <f>'Growing &amp; harvesting'!D17</f>
        <v>0</v>
      </c>
      <c r="F30" s="75">
        <f>'Growing &amp; harvesting'!F18</f>
        <v>0</v>
      </c>
      <c r="G30" s="76">
        <f>'Growing &amp; harvesting'!F17</f>
        <v>0</v>
      </c>
      <c r="H30" s="75">
        <f>'Growing &amp; harvesting'!H18</f>
        <v>0</v>
      </c>
      <c r="I30" s="76">
        <f>'Growing &amp; harvesting'!H17</f>
        <v>0</v>
      </c>
      <c r="J30" s="75">
        <f>'Growing &amp; harvesting'!J18</f>
        <v>0</v>
      </c>
      <c r="K30" s="76">
        <f>'Growing &amp; harvesting'!J17</f>
        <v>0</v>
      </c>
      <c r="L30" s="75">
        <f>'Growing &amp; harvesting'!L18</f>
        <v>0</v>
      </c>
      <c r="M30" s="76">
        <f>'Growing &amp; harvesting'!L17</f>
        <v>0</v>
      </c>
      <c r="N30" s="75">
        <f>'Growing &amp; harvesting'!N18</f>
        <v>0</v>
      </c>
      <c r="O30" s="76">
        <f>'Growing &amp; harvesting'!N17</f>
        <v>0</v>
      </c>
      <c r="P30" s="75">
        <f>'Growing &amp; harvesting'!P18</f>
        <v>0</v>
      </c>
      <c r="Q30" s="76">
        <f>'Growing &amp; harvesting'!P17</f>
        <v>0</v>
      </c>
      <c r="R30" s="75">
        <f>'Growing &amp; harvesting'!R18</f>
        <v>0</v>
      </c>
      <c r="S30" s="76">
        <f>'Growing &amp; harvesting'!R17</f>
        <v>0</v>
      </c>
    </row>
    <row r="31" spans="2:19">
      <c r="B31" s="47"/>
      <c r="C31" s="48">
        <f>'Growing &amp; harvesting'!D20</f>
        <v>0</v>
      </c>
      <c r="D31" s="48"/>
      <c r="E31" s="48">
        <f>'Growing &amp; harvesting'!D19</f>
        <v>0</v>
      </c>
      <c r="F31" s="75">
        <f>'Growing &amp; harvesting'!F20</f>
        <v>0</v>
      </c>
      <c r="G31" s="76">
        <f>'Growing &amp; harvesting'!F19</f>
        <v>0</v>
      </c>
      <c r="H31" s="75">
        <f>'Growing &amp; harvesting'!H20</f>
        <v>0</v>
      </c>
      <c r="I31" s="76">
        <f>'Growing &amp; harvesting'!H19</f>
        <v>0</v>
      </c>
      <c r="J31" s="75">
        <f>'Growing &amp; harvesting'!J20</f>
        <v>0</v>
      </c>
      <c r="K31" s="76">
        <f>'Growing &amp; harvesting'!J19</f>
        <v>0</v>
      </c>
      <c r="L31" s="75">
        <f>'Growing &amp; harvesting'!L20</f>
        <v>0</v>
      </c>
      <c r="M31" s="76">
        <f>'Growing &amp; harvesting'!L19</f>
        <v>0</v>
      </c>
      <c r="N31" s="75">
        <f>'Growing &amp; harvesting'!N20</f>
        <v>0</v>
      </c>
      <c r="O31" s="76">
        <f>'Growing &amp; harvesting'!N19</f>
        <v>0</v>
      </c>
      <c r="P31" s="75">
        <f>'Growing &amp; harvesting'!P20</f>
        <v>0</v>
      </c>
      <c r="Q31" s="76">
        <f>'Growing &amp; harvesting'!P19</f>
        <v>0</v>
      </c>
      <c r="R31" s="75">
        <f>'Growing &amp; harvesting'!R20</f>
        <v>0</v>
      </c>
      <c r="S31" s="76">
        <f>'Growing &amp; harvesting'!R19</f>
        <v>0</v>
      </c>
    </row>
    <row r="32" spans="2:19">
      <c r="B32" s="47"/>
      <c r="C32" s="48">
        <f>'Growing &amp; harvesting'!D22</f>
        <v>0</v>
      </c>
      <c r="D32" s="48"/>
      <c r="E32" s="48">
        <f>'Growing &amp; harvesting'!D21</f>
        <v>0</v>
      </c>
      <c r="F32" s="75">
        <f>'Growing &amp; harvesting'!F22</f>
        <v>0</v>
      </c>
      <c r="G32" s="76">
        <f>'Growing &amp; harvesting'!F21</f>
        <v>0</v>
      </c>
      <c r="H32" s="75">
        <f>'Growing &amp; harvesting'!H22</f>
        <v>0</v>
      </c>
      <c r="I32" s="76">
        <f>'Growing &amp; harvesting'!H21</f>
        <v>0</v>
      </c>
      <c r="J32" s="75">
        <f>'Growing &amp; harvesting'!J22</f>
        <v>0</v>
      </c>
      <c r="K32" s="76">
        <f>'Growing &amp; harvesting'!J21</f>
        <v>0</v>
      </c>
      <c r="L32" s="75">
        <f>'Growing &amp; harvesting'!L22</f>
        <v>0</v>
      </c>
      <c r="M32" s="76">
        <f>'Growing &amp; harvesting'!L21</f>
        <v>0</v>
      </c>
      <c r="N32" s="75">
        <f>'Growing &amp; harvesting'!N22</f>
        <v>0</v>
      </c>
      <c r="O32" s="76">
        <f>'Growing &amp; harvesting'!N21</f>
        <v>0</v>
      </c>
      <c r="P32" s="75">
        <f>'Growing &amp; harvesting'!P22</f>
        <v>0</v>
      </c>
      <c r="Q32" s="76">
        <f>'Growing &amp; harvesting'!P21</f>
        <v>0</v>
      </c>
      <c r="R32" s="75">
        <f>'Growing &amp; harvesting'!R22</f>
        <v>0</v>
      </c>
      <c r="S32" s="76">
        <f>'Growing &amp; harvesting'!R21</f>
        <v>0</v>
      </c>
    </row>
    <row r="33" spans="2:19">
      <c r="B33" s="47"/>
      <c r="C33" s="48">
        <f>'Growing &amp; harvesting'!D24</f>
        <v>0</v>
      </c>
      <c r="D33" s="48"/>
      <c r="E33" s="48">
        <f>'Growing &amp; harvesting'!D23</f>
        <v>0</v>
      </c>
      <c r="F33" s="75">
        <f>'Growing &amp; harvesting'!F24</f>
        <v>0</v>
      </c>
      <c r="G33" s="76">
        <f>'Growing &amp; harvesting'!F23</f>
        <v>0</v>
      </c>
      <c r="H33" s="75">
        <f>'Growing &amp; harvesting'!H24</f>
        <v>0</v>
      </c>
      <c r="I33" s="76">
        <f>'Growing &amp; harvesting'!H23</f>
        <v>0</v>
      </c>
      <c r="J33" s="75">
        <f>'Growing &amp; harvesting'!J24</f>
        <v>0</v>
      </c>
      <c r="K33" s="76">
        <f>'Growing &amp; harvesting'!J23</f>
        <v>0</v>
      </c>
      <c r="L33" s="75">
        <f>'Growing &amp; harvesting'!L24</f>
        <v>0</v>
      </c>
      <c r="M33" s="76">
        <f>'Growing &amp; harvesting'!L23</f>
        <v>0</v>
      </c>
      <c r="N33" s="75">
        <f>'Growing &amp; harvesting'!N24</f>
        <v>0</v>
      </c>
      <c r="O33" s="76">
        <f>'Growing &amp; harvesting'!N23</f>
        <v>0</v>
      </c>
      <c r="P33" s="75">
        <f>'Growing &amp; harvesting'!P24</f>
        <v>0</v>
      </c>
      <c r="Q33" s="76">
        <f>'Growing &amp; harvesting'!P23</f>
        <v>0</v>
      </c>
      <c r="R33" s="75">
        <f>'Growing &amp; harvesting'!R24</f>
        <v>0</v>
      </c>
      <c r="S33" s="76">
        <f>'Growing &amp; harvesting'!R23</f>
        <v>0</v>
      </c>
    </row>
    <row r="34" spans="2:19">
      <c r="B34" s="47"/>
      <c r="C34" s="48">
        <f>'Growing &amp; harvesting'!D26</f>
        <v>0</v>
      </c>
      <c r="D34" s="48"/>
      <c r="E34" s="48">
        <f>'Growing &amp; harvesting'!D25</f>
        <v>0</v>
      </c>
      <c r="F34" s="75">
        <f>'Growing &amp; harvesting'!F26</f>
        <v>0</v>
      </c>
      <c r="G34" s="76">
        <f>'Growing &amp; harvesting'!F25</f>
        <v>0</v>
      </c>
      <c r="H34" s="75">
        <f>'Growing &amp; harvesting'!H26</f>
        <v>0</v>
      </c>
      <c r="I34" s="76">
        <f>'Growing &amp; harvesting'!H25</f>
        <v>0</v>
      </c>
      <c r="J34" s="75">
        <f>'Growing &amp; harvesting'!J26</f>
        <v>0</v>
      </c>
      <c r="K34" s="76">
        <f>'Growing &amp; harvesting'!J25</f>
        <v>0</v>
      </c>
      <c r="L34" s="75">
        <f>'Growing &amp; harvesting'!L26</f>
        <v>0</v>
      </c>
      <c r="M34" s="76">
        <f>'Growing &amp; harvesting'!L25</f>
        <v>0</v>
      </c>
      <c r="N34" s="75">
        <f>'Growing &amp; harvesting'!N26</f>
        <v>0</v>
      </c>
      <c r="O34" s="76">
        <f>'Growing &amp; harvesting'!N25</f>
        <v>0</v>
      </c>
      <c r="P34" s="75">
        <f>'Growing &amp; harvesting'!P26</f>
        <v>0</v>
      </c>
      <c r="Q34" s="76">
        <f>'Growing &amp; harvesting'!P25</f>
        <v>0</v>
      </c>
      <c r="R34" s="75">
        <f>'Growing &amp; harvesting'!R26</f>
        <v>0</v>
      </c>
      <c r="S34" s="76">
        <f>'Growing &amp; harvesting'!R25</f>
        <v>0</v>
      </c>
    </row>
    <row r="35" spans="2:19">
      <c r="B35" s="47"/>
      <c r="C35" s="48"/>
      <c r="D35" s="48"/>
      <c r="E35" s="48"/>
      <c r="F35" s="75"/>
      <c r="G35" s="76"/>
      <c r="H35" s="75"/>
      <c r="I35" s="76"/>
      <c r="J35" s="75"/>
      <c r="K35" s="76"/>
      <c r="L35" s="48"/>
      <c r="M35" s="76"/>
      <c r="N35" s="48"/>
      <c r="O35" s="76"/>
      <c r="P35" s="48"/>
      <c r="Q35" s="84"/>
      <c r="R35" s="48"/>
      <c r="S35" s="76"/>
    </row>
    <row r="36" spans="2:19" ht="14.55" thickBot="1">
      <c r="B36" s="47"/>
      <c r="C36" s="48"/>
      <c r="D36" s="48"/>
      <c r="E36" s="48"/>
      <c r="F36" s="75"/>
      <c r="G36" s="76"/>
      <c r="H36" s="75"/>
      <c r="I36" s="76"/>
      <c r="J36" s="75"/>
      <c r="K36" s="76"/>
      <c r="L36" s="48"/>
      <c r="M36" s="76"/>
      <c r="N36" s="48"/>
      <c r="O36" s="76"/>
      <c r="P36" s="82"/>
      <c r="Q36" s="85"/>
      <c r="R36" s="48"/>
      <c r="S36" s="76"/>
    </row>
    <row r="37" spans="2:19" ht="14.55" thickBot="1">
      <c r="B37" s="51" t="s">
        <v>231</v>
      </c>
      <c r="C37" s="52">
        <f>SUM(C26:C34)</f>
        <v>0</v>
      </c>
      <c r="D37" s="52"/>
      <c r="E37" s="52">
        <f>SUM(E26:E32)</f>
        <v>55</v>
      </c>
      <c r="F37" s="77">
        <f>SUM(F26:F36)</f>
        <v>0</v>
      </c>
      <c r="G37" s="78">
        <f>SUM(G26:G35)</f>
        <v>0</v>
      </c>
      <c r="H37" s="77">
        <f>SUM(H26:H36)</f>
        <v>0</v>
      </c>
      <c r="I37" s="78">
        <f>SUM(I26:I32)</f>
        <v>0</v>
      </c>
      <c r="J37" s="77">
        <f>SUM(J26:J36)</f>
        <v>0</v>
      </c>
      <c r="K37" s="78">
        <f>SUM(K26:K32)</f>
        <v>0</v>
      </c>
      <c r="L37" s="80">
        <f>SUM(L26:L34)</f>
        <v>0</v>
      </c>
      <c r="M37" s="78">
        <f>SUM(M26:M35)</f>
        <v>0</v>
      </c>
      <c r="N37" s="80">
        <f>SUM(N26:N34)</f>
        <v>0</v>
      </c>
      <c r="O37" s="78">
        <f>SUM(O26:O35)</f>
        <v>0</v>
      </c>
      <c r="P37" s="81">
        <f>SUM(P26:P34)</f>
        <v>0</v>
      </c>
      <c r="Q37" s="86">
        <f>SUM(Q26:Q35)</f>
        <v>0</v>
      </c>
      <c r="R37" s="80">
        <f>SUM(R26:R34)</f>
        <v>0</v>
      </c>
      <c r="S37" s="78">
        <f>SUM(S26:S35)</f>
        <v>0</v>
      </c>
    </row>
    <row r="38" spans="2:19">
      <c r="B38" s="34" t="s">
        <v>55</v>
      </c>
      <c r="C38" s="72" t="s">
        <v>74</v>
      </c>
      <c r="D38" s="34" t="s">
        <v>75</v>
      </c>
      <c r="E38" s="34" t="s">
        <v>226</v>
      </c>
      <c r="F38" s="72"/>
      <c r="G38" s="72" t="s">
        <v>226</v>
      </c>
      <c r="H38" s="72"/>
      <c r="I38" s="72" t="s">
        <v>226</v>
      </c>
      <c r="J38" s="72"/>
      <c r="K38" s="72" t="s">
        <v>226</v>
      </c>
      <c r="L38" s="72"/>
      <c r="M38" s="72" t="s">
        <v>226</v>
      </c>
      <c r="N38" s="72"/>
      <c r="O38" s="72" t="s">
        <v>226</v>
      </c>
      <c r="P38" s="34"/>
      <c r="Q38" s="34" t="s">
        <v>226</v>
      </c>
      <c r="R38" s="72"/>
      <c r="S38" s="72" t="s">
        <v>226</v>
      </c>
    </row>
    <row r="39" spans="2:19">
      <c r="B39" s="53"/>
      <c r="C39" s="48">
        <f>'Growing &amp; harvesting'!D31</f>
        <v>0</v>
      </c>
      <c r="D39" s="48"/>
      <c r="E39" s="48">
        <f>'Growing &amp; harvesting'!D30</f>
        <v>100</v>
      </c>
      <c r="F39" s="48">
        <f>'Growing &amp; harvesting'!F31</f>
        <v>0</v>
      </c>
      <c r="G39" s="48">
        <f>'Growing &amp; harvesting'!F30</f>
        <v>75</v>
      </c>
      <c r="H39" s="48">
        <f>'Growing &amp; harvesting'!H31</f>
        <v>0</v>
      </c>
      <c r="I39" s="48">
        <f>'Growing &amp; harvesting'!H30</f>
        <v>0</v>
      </c>
      <c r="J39" s="48">
        <f>'Growing &amp; harvesting'!J31</f>
        <v>0</v>
      </c>
      <c r="K39" s="48">
        <f>'Growing &amp; harvesting'!J30</f>
        <v>0</v>
      </c>
      <c r="L39" s="48">
        <f>'Growing &amp; harvesting'!L31</f>
        <v>0</v>
      </c>
      <c r="M39" s="48">
        <f>'Growing &amp; harvesting'!L30</f>
        <v>0</v>
      </c>
      <c r="N39" s="48">
        <f>'Growing &amp; harvesting'!N31</f>
        <v>0</v>
      </c>
      <c r="O39" s="48">
        <f>'Growing &amp; harvesting'!N30</f>
        <v>0</v>
      </c>
      <c r="P39" s="48">
        <f>'Growing &amp; harvesting'!P31</f>
        <v>0</v>
      </c>
      <c r="Q39" s="48">
        <f>'Growing &amp; harvesting'!P30</f>
        <v>0</v>
      </c>
      <c r="R39" s="48">
        <f>'Growing &amp; harvesting'!R31</f>
        <v>0</v>
      </c>
      <c r="S39" s="48">
        <f>'Growing &amp; harvesting'!R30</f>
        <v>0</v>
      </c>
    </row>
    <row r="40" spans="2:19">
      <c r="B40" s="53"/>
      <c r="C40" s="48">
        <f>'Growing &amp; harvesting'!D33</f>
        <v>0</v>
      </c>
      <c r="D40" s="48"/>
      <c r="E40" s="48">
        <f>'Growing &amp; harvesting'!D32</f>
        <v>0</v>
      </c>
      <c r="F40" s="48">
        <f>'Growing &amp; harvesting'!F33</f>
        <v>0</v>
      </c>
      <c r="G40" s="48">
        <f>'Growing &amp; harvesting'!F32</f>
        <v>0</v>
      </c>
      <c r="H40" s="48">
        <f>'Growing &amp; harvesting'!H33</f>
        <v>0</v>
      </c>
      <c r="I40" s="48">
        <f>'Growing &amp; harvesting'!H32</f>
        <v>0</v>
      </c>
      <c r="J40" s="48">
        <f>'Growing &amp; harvesting'!J33</f>
        <v>0</v>
      </c>
      <c r="K40" s="48">
        <f>'Growing &amp; harvesting'!J32</f>
        <v>0</v>
      </c>
      <c r="L40" s="48">
        <f>'Growing &amp; harvesting'!L33</f>
        <v>0</v>
      </c>
      <c r="M40" s="48">
        <f>'Growing &amp; harvesting'!L32</f>
        <v>0</v>
      </c>
      <c r="N40" s="48">
        <f>'Growing &amp; harvesting'!N33</f>
        <v>0</v>
      </c>
      <c r="O40" s="48">
        <f>'Growing &amp; harvesting'!N32</f>
        <v>0</v>
      </c>
      <c r="P40" s="48">
        <f>'Growing &amp; harvesting'!P33</f>
        <v>0</v>
      </c>
      <c r="Q40" s="48">
        <f>'Growing &amp; harvesting'!P32</f>
        <v>0</v>
      </c>
      <c r="R40" s="48">
        <f>'Growing &amp; harvesting'!R33</f>
        <v>0</v>
      </c>
      <c r="S40" s="48">
        <f>'Growing &amp; harvesting'!R32</f>
        <v>0</v>
      </c>
    </row>
    <row r="41" spans="2:19">
      <c r="B41" s="53"/>
      <c r="C41" s="48">
        <f>'Growing &amp; harvesting'!D35</f>
        <v>0</v>
      </c>
      <c r="D41" s="48"/>
      <c r="E41" s="48">
        <f>'Growing &amp; harvesting'!D34</f>
        <v>0</v>
      </c>
      <c r="F41" s="48">
        <f>'Growing &amp; harvesting'!F35</f>
        <v>0</v>
      </c>
      <c r="G41" s="48">
        <f>'Growing &amp; harvesting'!F34</f>
        <v>0</v>
      </c>
      <c r="H41" s="48">
        <f>'Growing &amp; harvesting'!H35</f>
        <v>0</v>
      </c>
      <c r="I41" s="48">
        <f>'Growing &amp; harvesting'!H34</f>
        <v>0</v>
      </c>
      <c r="J41" s="48">
        <f>'Growing &amp; harvesting'!J35</f>
        <v>0</v>
      </c>
      <c r="K41" s="48">
        <f>'Growing &amp; harvesting'!J34</f>
        <v>0</v>
      </c>
      <c r="L41" s="48">
        <f>'Growing &amp; harvesting'!L35</f>
        <v>0</v>
      </c>
      <c r="M41" s="48">
        <f>'Growing &amp; harvesting'!L34</f>
        <v>0</v>
      </c>
      <c r="N41" s="48">
        <f>'Growing &amp; harvesting'!N35</f>
        <v>0</v>
      </c>
      <c r="O41" s="48">
        <f>'Growing &amp; harvesting'!N34</f>
        <v>0</v>
      </c>
      <c r="P41" s="48">
        <f>'Growing &amp; harvesting'!P35</f>
        <v>0</v>
      </c>
      <c r="Q41" s="48">
        <f>'Growing &amp; harvesting'!P34</f>
        <v>0</v>
      </c>
      <c r="R41" s="48">
        <f>'Growing &amp; harvesting'!R35</f>
        <v>0</v>
      </c>
      <c r="S41" s="48">
        <f>'Growing &amp; harvesting'!R34</f>
        <v>0</v>
      </c>
    </row>
    <row r="42" spans="2:19">
      <c r="B42" s="53"/>
      <c r="C42" s="48">
        <f>'Growing &amp; harvesting'!D37</f>
        <v>0</v>
      </c>
      <c r="D42" s="48"/>
      <c r="E42" s="48">
        <f>'Growing &amp; harvesting'!D36</f>
        <v>0</v>
      </c>
      <c r="F42" s="48">
        <f>'Growing &amp; harvesting'!F37</f>
        <v>0</v>
      </c>
      <c r="G42" s="48">
        <f>'Growing &amp; harvesting'!F36</f>
        <v>0</v>
      </c>
      <c r="H42" s="48">
        <f>'Growing &amp; harvesting'!H37</f>
        <v>0</v>
      </c>
      <c r="I42" s="48">
        <f>'Growing &amp; harvesting'!H36</f>
        <v>0</v>
      </c>
      <c r="J42" s="48">
        <f>'Growing &amp; harvesting'!J37</f>
        <v>0</v>
      </c>
      <c r="K42" s="48">
        <f>'Growing &amp; harvesting'!J36</f>
        <v>0</v>
      </c>
      <c r="L42" s="48">
        <f>'Growing &amp; harvesting'!L37</f>
        <v>0</v>
      </c>
      <c r="M42" s="48">
        <f>'Growing &amp; harvesting'!L36</f>
        <v>0</v>
      </c>
      <c r="N42" s="48">
        <f>'Growing &amp; harvesting'!N37</f>
        <v>0</v>
      </c>
      <c r="O42" s="48">
        <f>'Growing &amp; harvesting'!N36</f>
        <v>0</v>
      </c>
      <c r="P42" s="48">
        <f>'Growing &amp; harvesting'!P37</f>
        <v>0</v>
      </c>
      <c r="Q42" s="48">
        <f>'Growing &amp; harvesting'!P36</f>
        <v>0</v>
      </c>
      <c r="R42" s="48">
        <f>'Growing &amp; harvesting'!R37</f>
        <v>0</v>
      </c>
      <c r="S42" s="48">
        <f>'Growing &amp; harvesting'!R36</f>
        <v>0</v>
      </c>
    </row>
    <row r="43" spans="2:19">
      <c r="B43" s="53"/>
      <c r="C43" s="48">
        <f>'Growing &amp; harvesting'!D39</f>
        <v>0</v>
      </c>
      <c r="D43" s="48"/>
      <c r="E43" s="48">
        <f>'Growing &amp; harvesting'!D38</f>
        <v>0</v>
      </c>
      <c r="F43" s="48">
        <f>'Growing &amp; harvesting'!F39</f>
        <v>0</v>
      </c>
      <c r="G43" s="48">
        <f>'Growing &amp; harvesting'!F38</f>
        <v>0</v>
      </c>
      <c r="H43" s="48">
        <f>'Growing &amp; harvesting'!H39</f>
        <v>0</v>
      </c>
      <c r="I43" s="48">
        <f>'Growing &amp; harvesting'!H38</f>
        <v>0</v>
      </c>
      <c r="J43" s="48">
        <f>'Growing &amp; harvesting'!J39</f>
        <v>0</v>
      </c>
      <c r="K43" s="48">
        <f>'Growing &amp; harvesting'!J38</f>
        <v>0</v>
      </c>
      <c r="L43" s="48">
        <f>'Growing &amp; harvesting'!L39</f>
        <v>0</v>
      </c>
      <c r="M43" s="48">
        <f>'Growing &amp; harvesting'!L38</f>
        <v>0</v>
      </c>
      <c r="N43" s="48">
        <f>'Growing &amp; harvesting'!N39</f>
        <v>0</v>
      </c>
      <c r="O43" s="48">
        <f>'Growing &amp; harvesting'!N38</f>
        <v>0</v>
      </c>
      <c r="P43" s="48">
        <f>'Growing &amp; harvesting'!P39</f>
        <v>0</v>
      </c>
      <c r="Q43" s="48">
        <f>'Growing &amp; harvesting'!P38</f>
        <v>0</v>
      </c>
      <c r="R43" s="48">
        <f>'Growing &amp; harvesting'!R39</f>
        <v>0</v>
      </c>
      <c r="S43" s="48">
        <f>'Growing &amp; harvesting'!R38</f>
        <v>0</v>
      </c>
    </row>
    <row r="44" spans="2:19">
      <c r="B44" s="53"/>
      <c r="C44" s="48"/>
      <c r="D44" s="48"/>
      <c r="E44" s="48"/>
      <c r="F44" s="48"/>
      <c r="G44" s="48"/>
      <c r="H44" s="48"/>
      <c r="I44" s="48"/>
      <c r="J44" s="48"/>
      <c r="K44" s="48"/>
      <c r="L44" s="48"/>
      <c r="M44" s="48"/>
      <c r="N44" s="48"/>
      <c r="O44" s="48"/>
      <c r="P44" s="48"/>
      <c r="Q44" s="48"/>
      <c r="R44" s="48"/>
      <c r="S44" s="48"/>
    </row>
    <row r="45" spans="2:19">
      <c r="B45" s="49" t="s">
        <v>231</v>
      </c>
      <c r="C45" s="50">
        <f>SUM(C39:C43)</f>
        <v>0</v>
      </c>
      <c r="D45" s="50"/>
      <c r="E45" s="50">
        <f>SUM(E39:E44)</f>
        <v>100</v>
      </c>
      <c r="F45" s="50">
        <f>SUM(F39:F43)</f>
        <v>0</v>
      </c>
      <c r="G45" s="50">
        <f>SUM(G39:G44)</f>
        <v>75</v>
      </c>
      <c r="H45" s="50">
        <f>SUM(H39:H44)</f>
        <v>0</v>
      </c>
      <c r="I45" s="50">
        <f>SUM(I39:I44)</f>
        <v>0</v>
      </c>
      <c r="J45" s="50">
        <f>SUM(J39:J43)</f>
        <v>0</v>
      </c>
      <c r="K45" s="50">
        <f>SUM(K39:K44)</f>
        <v>0</v>
      </c>
      <c r="L45" s="50">
        <f>SUM(L39:L44)</f>
        <v>0</v>
      </c>
      <c r="M45" s="50">
        <f>SUM(M39:M44)</f>
        <v>0</v>
      </c>
      <c r="N45" s="50">
        <f>SUM(N39:N43)</f>
        <v>0</v>
      </c>
      <c r="O45" s="50">
        <f>SUM(O39:O44)</f>
        <v>0</v>
      </c>
      <c r="P45" s="50">
        <f>SUM(P39:P43)</f>
        <v>0</v>
      </c>
      <c r="Q45" s="50">
        <f>SUM(Q39:Q44)</f>
        <v>0</v>
      </c>
      <c r="R45" s="50">
        <f>SUM(R39:R43)</f>
        <v>0</v>
      </c>
      <c r="S45" s="50">
        <f>SUM(S39:S44)</f>
        <v>0</v>
      </c>
    </row>
    <row r="46" spans="2:19">
      <c r="B46" s="54" t="s">
        <v>233</v>
      </c>
      <c r="C46" s="54"/>
      <c r="D46" s="54"/>
      <c r="E46" s="54"/>
      <c r="F46" s="54"/>
      <c r="G46" s="54"/>
      <c r="H46" s="54"/>
      <c r="I46" s="54"/>
      <c r="J46" s="54"/>
      <c r="K46" s="54"/>
      <c r="L46" s="54"/>
      <c r="M46" s="54"/>
      <c r="N46" s="54"/>
      <c r="O46" s="54"/>
      <c r="P46" s="54"/>
      <c r="Q46" s="54"/>
      <c r="R46" s="54"/>
      <c r="S46" s="54"/>
    </row>
    <row r="47" spans="2:19">
      <c r="B47" s="53"/>
      <c r="C47" s="55">
        <f>'Growing &amp; harvesting'!D43</f>
        <v>300</v>
      </c>
      <c r="D47" s="54"/>
      <c r="E47" s="54"/>
      <c r="F47" s="55">
        <f>'Growing &amp; harvesting'!F43</f>
        <v>0</v>
      </c>
      <c r="G47" s="54"/>
      <c r="H47" s="55">
        <f>'Growing &amp; harvesting'!H43</f>
        <v>0</v>
      </c>
      <c r="I47" s="54"/>
      <c r="J47" s="55">
        <f>'Growing &amp; harvesting'!J43</f>
        <v>0</v>
      </c>
      <c r="K47" s="54"/>
      <c r="L47" s="55">
        <f>'Growing &amp; harvesting'!L43</f>
        <v>0</v>
      </c>
      <c r="M47" s="54"/>
      <c r="N47" s="55">
        <f>'Growing &amp; harvesting'!N43</f>
        <v>0</v>
      </c>
      <c r="O47" s="54"/>
      <c r="P47" s="55">
        <f>'Growing &amp; harvesting'!P43</f>
        <v>0</v>
      </c>
      <c r="Q47" s="54"/>
      <c r="R47" s="55">
        <f>'Growing &amp; harvesting'!R43</f>
        <v>0</v>
      </c>
      <c r="S47" s="54"/>
    </row>
    <row r="48" spans="2:19">
      <c r="B48" s="53"/>
      <c r="C48" s="55">
        <f>'Growing &amp; harvesting'!D44</f>
        <v>0</v>
      </c>
      <c r="D48" s="54"/>
      <c r="E48" s="54"/>
      <c r="F48" s="55">
        <f>'Growing &amp; harvesting'!F44</f>
        <v>0</v>
      </c>
      <c r="G48" s="54"/>
      <c r="H48" s="55">
        <f>'Growing &amp; harvesting'!H44</f>
        <v>0</v>
      </c>
      <c r="I48" s="54"/>
      <c r="J48" s="55">
        <f>'Growing &amp; harvesting'!J44</f>
        <v>0</v>
      </c>
      <c r="K48" s="54"/>
      <c r="L48" s="55">
        <f>'Growing &amp; harvesting'!L44</f>
        <v>0</v>
      </c>
      <c r="M48" s="54"/>
      <c r="N48" s="55">
        <f>'Growing &amp; harvesting'!N44</f>
        <v>0</v>
      </c>
      <c r="O48" s="54"/>
      <c r="P48" s="55">
        <f>'Growing &amp; harvesting'!P44</f>
        <v>0</v>
      </c>
      <c r="Q48" s="54"/>
      <c r="R48" s="55">
        <f>'Growing &amp; harvesting'!R44</f>
        <v>0</v>
      </c>
      <c r="S48" s="54"/>
    </row>
    <row r="49" spans="2:19">
      <c r="B49" s="53"/>
      <c r="C49" s="55">
        <f>'Growing &amp; harvesting'!D46</f>
        <v>0</v>
      </c>
      <c r="D49" s="54"/>
      <c r="E49" s="54"/>
      <c r="F49" s="55">
        <f>'Growing &amp; harvesting'!F46</f>
        <v>0</v>
      </c>
      <c r="G49" s="54"/>
      <c r="H49" s="55">
        <f>'Growing &amp; harvesting'!H46</f>
        <v>0</v>
      </c>
      <c r="I49" s="54"/>
      <c r="J49" s="55">
        <f>'Growing &amp; harvesting'!J46</f>
        <v>0</v>
      </c>
      <c r="K49" s="54"/>
      <c r="L49" s="55">
        <f>'Growing &amp; harvesting'!L46</f>
        <v>0</v>
      </c>
      <c r="M49" s="54"/>
      <c r="N49" s="55">
        <f>'Growing &amp; harvesting'!N46</f>
        <v>0</v>
      </c>
      <c r="O49" s="54"/>
      <c r="P49" s="55">
        <f>'Growing &amp; harvesting'!P46</f>
        <v>0</v>
      </c>
      <c r="Q49" s="54"/>
      <c r="R49" s="55">
        <f>'Growing &amp; harvesting'!R46</f>
        <v>0</v>
      </c>
      <c r="S49" s="54"/>
    </row>
    <row r="50" spans="2:19">
      <c r="B50" s="56" t="s">
        <v>234</v>
      </c>
      <c r="C50" s="57">
        <f>SUM(C47:C49)</f>
        <v>300</v>
      </c>
      <c r="D50" s="49"/>
      <c r="E50" s="49"/>
      <c r="F50" s="57">
        <f>SUM(F47:F49)</f>
        <v>0</v>
      </c>
      <c r="G50" s="49"/>
      <c r="H50" s="57">
        <f>SUM(H47:H49)</f>
        <v>0</v>
      </c>
      <c r="I50" s="49"/>
      <c r="J50" s="57">
        <f>SUM(J47:J49)</f>
        <v>0</v>
      </c>
      <c r="K50" s="49"/>
      <c r="L50" s="57">
        <f>SUM(L47:L49)</f>
        <v>0</v>
      </c>
      <c r="M50" s="49"/>
      <c r="N50" s="57">
        <f>SUM(N47:N49)</f>
        <v>0</v>
      </c>
      <c r="O50" s="49"/>
      <c r="P50" s="57">
        <f>SUM(P47:P49)</f>
        <v>0</v>
      </c>
      <c r="Q50" s="49"/>
      <c r="R50" s="57">
        <f>SUM(R47:R49)</f>
        <v>0</v>
      </c>
      <c r="S50" s="49"/>
    </row>
    <row r="51" spans="2:19">
      <c r="B51" s="34" t="s">
        <v>235</v>
      </c>
      <c r="C51" s="34"/>
      <c r="D51" s="34"/>
      <c r="E51" s="34"/>
      <c r="F51" s="58"/>
      <c r="G51" s="58"/>
      <c r="H51" s="58"/>
      <c r="I51" s="58"/>
      <c r="J51" s="58"/>
      <c r="K51" s="58"/>
      <c r="L51" s="58"/>
      <c r="M51" s="58"/>
      <c r="N51" s="58"/>
      <c r="O51" s="58"/>
      <c r="P51" s="58"/>
      <c r="Q51" s="58"/>
      <c r="R51" s="58"/>
      <c r="S51" s="58"/>
    </row>
    <row r="52" spans="2:19">
      <c r="B52" s="59" t="s">
        <v>42</v>
      </c>
      <c r="C52" s="55"/>
      <c r="D52" s="34" t="s">
        <v>75</v>
      </c>
      <c r="E52" s="34" t="s">
        <v>226</v>
      </c>
      <c r="F52" s="39"/>
      <c r="G52" s="34" t="s">
        <v>226</v>
      </c>
      <c r="H52" s="39"/>
      <c r="I52" s="34" t="s">
        <v>226</v>
      </c>
      <c r="J52" s="39"/>
      <c r="K52" s="34" t="s">
        <v>226</v>
      </c>
      <c r="L52" s="39"/>
      <c r="M52" s="34" t="s">
        <v>226</v>
      </c>
      <c r="N52" s="39"/>
      <c r="O52" s="34" t="s">
        <v>226</v>
      </c>
      <c r="P52" s="39"/>
      <c r="Q52" s="34" t="s">
        <v>226</v>
      </c>
      <c r="R52" s="39"/>
      <c r="S52" s="34" t="s">
        <v>226</v>
      </c>
    </row>
    <row r="53" spans="2:19">
      <c r="B53" s="47"/>
      <c r="C53" s="48">
        <f>'Growing &amp; harvesting'!D50</f>
        <v>75</v>
      </c>
      <c r="D53" s="48"/>
      <c r="E53" s="48"/>
      <c r="F53" s="48">
        <f>'Growing &amp; harvesting'!F50</f>
        <v>0</v>
      </c>
      <c r="G53" s="48"/>
      <c r="H53" s="48">
        <f>'Growing &amp; harvesting'!H50</f>
        <v>0</v>
      </c>
      <c r="I53" s="48"/>
      <c r="J53" s="48">
        <f>'Growing &amp; harvesting'!J50</f>
        <v>0</v>
      </c>
      <c r="K53" s="48"/>
      <c r="L53" s="48">
        <f>'Growing &amp; harvesting'!L50</f>
        <v>0</v>
      </c>
      <c r="M53" s="48"/>
      <c r="N53" s="48">
        <f>'Growing &amp; harvesting'!N50</f>
        <v>0</v>
      </c>
      <c r="O53" s="48"/>
      <c r="P53" s="48">
        <f>'Growing &amp; harvesting'!P50</f>
        <v>0</v>
      </c>
      <c r="Q53" s="48"/>
      <c r="R53" s="48">
        <f>'Growing &amp; harvesting'!R50</f>
        <v>0</v>
      </c>
      <c r="S53" s="48"/>
    </row>
    <row r="54" spans="2:19">
      <c r="B54" s="47"/>
      <c r="C54" s="48">
        <f>'Growing &amp; harvesting'!D51</f>
        <v>0</v>
      </c>
      <c r="D54" s="48"/>
      <c r="E54" s="48"/>
      <c r="F54" s="48">
        <f>'Growing &amp; harvesting'!F51</f>
        <v>0</v>
      </c>
      <c r="G54" s="48"/>
      <c r="H54" s="48">
        <f>'Growing &amp; harvesting'!H51</f>
        <v>0</v>
      </c>
      <c r="I54" s="48"/>
      <c r="J54" s="48">
        <f>'Growing &amp; harvesting'!J51</f>
        <v>0</v>
      </c>
      <c r="K54" s="48"/>
      <c r="L54" s="48">
        <f>'Growing &amp; harvesting'!L51</f>
        <v>0</v>
      </c>
      <c r="M54" s="48"/>
      <c r="N54" s="48">
        <f>'Growing &amp; harvesting'!N51</f>
        <v>0</v>
      </c>
      <c r="O54" s="48"/>
      <c r="P54" s="48">
        <f>'Growing &amp; harvesting'!P51</f>
        <v>0</v>
      </c>
      <c r="Q54" s="48"/>
      <c r="R54" s="48">
        <f>'Growing &amp; harvesting'!R51</f>
        <v>0</v>
      </c>
      <c r="S54" s="48"/>
    </row>
    <row r="55" spans="2:19">
      <c r="B55" s="47"/>
      <c r="C55" s="48">
        <f>'Growing &amp; harvesting'!D52</f>
        <v>0</v>
      </c>
      <c r="D55" s="48"/>
      <c r="E55" s="48"/>
      <c r="F55" s="48">
        <f>'Growing &amp; harvesting'!F52</f>
        <v>0</v>
      </c>
      <c r="G55" s="48"/>
      <c r="H55" s="48">
        <f>'Growing &amp; harvesting'!H52</f>
        <v>0</v>
      </c>
      <c r="I55" s="48"/>
      <c r="J55" s="48">
        <f>'Growing &amp; harvesting'!J52</f>
        <v>0</v>
      </c>
      <c r="K55" s="48"/>
      <c r="L55" s="48">
        <f>'Growing &amp; harvesting'!L52</f>
        <v>0</v>
      </c>
      <c r="M55" s="48"/>
      <c r="N55" s="48">
        <f>'Growing &amp; harvesting'!N52</f>
        <v>0</v>
      </c>
      <c r="O55" s="48"/>
      <c r="P55" s="48">
        <f>'Growing &amp; harvesting'!P52</f>
        <v>0</v>
      </c>
      <c r="Q55" s="48"/>
      <c r="R55" s="48">
        <f>'Growing &amp; harvesting'!R52</f>
        <v>0</v>
      </c>
      <c r="S55" s="48"/>
    </row>
    <row r="56" spans="2:19">
      <c r="B56" s="47"/>
      <c r="C56" s="48">
        <f>'Growing &amp; harvesting'!D53</f>
        <v>0</v>
      </c>
      <c r="D56" s="48"/>
      <c r="E56" s="48"/>
      <c r="F56" s="48">
        <f>'Growing &amp; harvesting'!F53</f>
        <v>0</v>
      </c>
      <c r="G56" s="48"/>
      <c r="H56" s="48">
        <f>'Growing &amp; harvesting'!H53</f>
        <v>0</v>
      </c>
      <c r="I56" s="48"/>
      <c r="J56" s="48">
        <f>'Growing &amp; harvesting'!J53</f>
        <v>0</v>
      </c>
      <c r="K56" s="48"/>
      <c r="L56" s="48">
        <f>'Growing &amp; harvesting'!L53</f>
        <v>0</v>
      </c>
      <c r="M56" s="48"/>
      <c r="N56" s="48">
        <f>'Growing &amp; harvesting'!N53</f>
        <v>0</v>
      </c>
      <c r="O56" s="48"/>
      <c r="P56" s="48">
        <f>'Growing &amp; harvesting'!P53</f>
        <v>0</v>
      </c>
      <c r="Q56" s="48"/>
      <c r="R56" s="48">
        <f>'Growing &amp; harvesting'!R53</f>
        <v>0</v>
      </c>
      <c r="S56" s="48"/>
    </row>
    <row r="57" spans="2:19">
      <c r="B57" s="47"/>
      <c r="C57" s="48">
        <f>'Growing &amp; harvesting'!D54</f>
        <v>0</v>
      </c>
      <c r="D57" s="48"/>
      <c r="E57" s="48"/>
      <c r="F57" s="48">
        <f>'Growing &amp; harvesting'!F54</f>
        <v>0</v>
      </c>
      <c r="G57" s="48"/>
      <c r="H57" s="48">
        <f>'Growing &amp; harvesting'!H54</f>
        <v>0</v>
      </c>
      <c r="I57" s="48"/>
      <c r="J57" s="48">
        <f>'Growing &amp; harvesting'!J54</f>
        <v>0</v>
      </c>
      <c r="K57" s="48"/>
      <c r="L57" s="48">
        <f>'Growing &amp; harvesting'!L54</f>
        <v>0</v>
      </c>
      <c r="M57" s="48"/>
      <c r="N57" s="48">
        <f>'Growing &amp; harvesting'!N54</f>
        <v>0</v>
      </c>
      <c r="O57" s="48"/>
      <c r="P57" s="48">
        <f>'Growing &amp; harvesting'!P54</f>
        <v>0</v>
      </c>
      <c r="Q57" s="48"/>
      <c r="R57" s="48">
        <f>'Growing &amp; harvesting'!R54</f>
        <v>0</v>
      </c>
      <c r="S57" s="48"/>
    </row>
    <row r="58" spans="2:19">
      <c r="B58" s="60" t="s">
        <v>231</v>
      </c>
      <c r="C58" s="50">
        <f>SUM(C53:C57)</f>
        <v>75</v>
      </c>
      <c r="D58" s="61"/>
      <c r="E58" s="61"/>
      <c r="F58" s="50">
        <f>SUM(F53:F57)</f>
        <v>0</v>
      </c>
      <c r="G58" s="61"/>
      <c r="H58" s="50">
        <f>SUM(H53:H57)</f>
        <v>0</v>
      </c>
      <c r="I58" s="61"/>
      <c r="J58" s="50">
        <f>SUM(J53:J57)</f>
        <v>0</v>
      </c>
      <c r="K58" s="50"/>
      <c r="L58" s="50">
        <f>SUM(L53:L57)</f>
        <v>0</v>
      </c>
      <c r="M58" s="50"/>
      <c r="N58" s="50">
        <f>SUM(N53:N57)</f>
        <v>0</v>
      </c>
      <c r="O58" s="50"/>
      <c r="P58" s="50">
        <f>SUM(P53:P57)</f>
        <v>0</v>
      </c>
      <c r="Q58" s="50"/>
      <c r="R58" s="50">
        <f>SUM(R53:R57)</f>
        <v>0</v>
      </c>
      <c r="S58" s="50"/>
    </row>
    <row r="59" spans="2:19">
      <c r="B59" s="62" t="s">
        <v>43</v>
      </c>
      <c r="C59" s="55"/>
      <c r="D59" s="34" t="s">
        <v>75</v>
      </c>
      <c r="E59" s="34" t="s">
        <v>226</v>
      </c>
      <c r="F59" s="55"/>
      <c r="G59" s="34" t="s">
        <v>226</v>
      </c>
      <c r="H59" s="55"/>
      <c r="I59" s="34" t="s">
        <v>226</v>
      </c>
      <c r="J59" s="55"/>
      <c r="K59" s="34" t="s">
        <v>226</v>
      </c>
      <c r="L59" s="55"/>
      <c r="M59" s="34" t="s">
        <v>226</v>
      </c>
      <c r="N59" s="55"/>
      <c r="O59" s="34" t="s">
        <v>226</v>
      </c>
      <c r="P59" s="55"/>
      <c r="Q59" s="34" t="s">
        <v>226</v>
      </c>
      <c r="R59" s="55"/>
      <c r="S59" s="34" t="s">
        <v>226</v>
      </c>
    </row>
    <row r="60" spans="2:19">
      <c r="B60" s="47"/>
      <c r="C60" s="48">
        <f>'Growing &amp; harvesting'!D58</f>
        <v>0</v>
      </c>
      <c r="D60" s="48"/>
      <c r="E60" s="48">
        <f>'Growing &amp; harvesting'!D57</f>
        <v>80</v>
      </c>
      <c r="F60" s="48">
        <f>'Growing &amp; harvesting'!F58</f>
        <v>0</v>
      </c>
      <c r="G60" s="48">
        <f>'Growing &amp; harvesting'!F57</f>
        <v>0</v>
      </c>
      <c r="H60" s="48">
        <f>'Growing &amp; harvesting'!H58</f>
        <v>0</v>
      </c>
      <c r="I60" s="48">
        <f>'Growing &amp; harvesting'!H57</f>
        <v>0</v>
      </c>
      <c r="J60" s="48">
        <f>'Growing &amp; harvesting'!J58</f>
        <v>0</v>
      </c>
      <c r="K60" s="48">
        <f>'Growing &amp; harvesting'!J57</f>
        <v>0</v>
      </c>
      <c r="L60" s="48">
        <f>'Growing &amp; harvesting'!L58</f>
        <v>0</v>
      </c>
      <c r="M60" s="48">
        <f>'Growing &amp; harvesting'!L57</f>
        <v>0</v>
      </c>
      <c r="N60" s="48">
        <f>'Growing &amp; harvesting'!N58</f>
        <v>0</v>
      </c>
      <c r="O60" s="48">
        <f>'Growing &amp; harvesting'!N57</f>
        <v>0</v>
      </c>
      <c r="P60" s="48">
        <f>'Growing &amp; harvesting'!P58</f>
        <v>0</v>
      </c>
      <c r="Q60" s="48">
        <f>'Growing &amp; harvesting'!P57</f>
        <v>0</v>
      </c>
      <c r="R60" s="48">
        <f>'Growing &amp; harvesting'!R58</f>
        <v>0</v>
      </c>
      <c r="S60" s="48">
        <f>'Growing &amp; harvesting'!R57</f>
        <v>0</v>
      </c>
    </row>
    <row r="61" spans="2:19">
      <c r="B61" s="47"/>
      <c r="C61" s="48">
        <f>'Growing &amp; harvesting'!D60</f>
        <v>0</v>
      </c>
      <c r="D61" s="48"/>
      <c r="E61" s="48">
        <f>'Growing &amp; harvesting'!D59</f>
        <v>0</v>
      </c>
      <c r="F61" s="48">
        <f>'Growing &amp; harvesting'!F60</f>
        <v>0</v>
      </c>
      <c r="G61" s="48">
        <f>'Growing &amp; harvesting'!F59</f>
        <v>0</v>
      </c>
      <c r="H61" s="48">
        <f>'Growing &amp; harvesting'!H60</f>
        <v>0</v>
      </c>
      <c r="I61" s="48">
        <f>'Growing &amp; harvesting'!H59</f>
        <v>0</v>
      </c>
      <c r="J61" s="48">
        <f>'Growing &amp; harvesting'!J60</f>
        <v>0</v>
      </c>
      <c r="K61" s="48">
        <f>'Growing &amp; harvesting'!J59</f>
        <v>0</v>
      </c>
      <c r="L61" s="48">
        <f>'Growing &amp; harvesting'!L60</f>
        <v>0</v>
      </c>
      <c r="M61" s="48">
        <f>'Growing &amp; harvesting'!L59</f>
        <v>0</v>
      </c>
      <c r="N61" s="48">
        <f>'Growing &amp; harvesting'!N60</f>
        <v>0</v>
      </c>
      <c r="O61" s="48">
        <f>'Growing &amp; harvesting'!N59</f>
        <v>0</v>
      </c>
      <c r="P61" s="48">
        <f>'Growing &amp; harvesting'!P60</f>
        <v>0</v>
      </c>
      <c r="Q61" s="48">
        <f>'Growing &amp; harvesting'!P59</f>
        <v>0</v>
      </c>
      <c r="R61" s="48">
        <f>'Growing &amp; harvesting'!R60</f>
        <v>0</v>
      </c>
      <c r="S61" s="48">
        <f>'Growing &amp; harvesting'!R59</f>
        <v>0</v>
      </c>
    </row>
    <row r="62" spans="2:19">
      <c r="B62" s="47"/>
      <c r="C62" s="48">
        <f>'Growing &amp; harvesting'!D62</f>
        <v>0</v>
      </c>
      <c r="D62" s="48"/>
      <c r="E62" s="48">
        <f>'Growing &amp; harvesting'!D61</f>
        <v>0</v>
      </c>
      <c r="F62" s="48">
        <f>'Growing &amp; harvesting'!F62</f>
        <v>0</v>
      </c>
      <c r="G62" s="48">
        <f>'Growing &amp; harvesting'!F61</f>
        <v>0</v>
      </c>
      <c r="H62" s="48">
        <f>'Growing &amp; harvesting'!H62</f>
        <v>0</v>
      </c>
      <c r="I62" s="48">
        <f>'Growing &amp; harvesting'!H61</f>
        <v>0</v>
      </c>
      <c r="J62" s="48">
        <f>'Growing &amp; harvesting'!J62</f>
        <v>0</v>
      </c>
      <c r="K62" s="48">
        <f>'Growing &amp; harvesting'!J61</f>
        <v>0</v>
      </c>
      <c r="L62" s="48">
        <f>'Growing &amp; harvesting'!L62</f>
        <v>0</v>
      </c>
      <c r="M62" s="48">
        <f>'Growing &amp; harvesting'!L61</f>
        <v>0</v>
      </c>
      <c r="N62" s="48">
        <f>'Growing &amp; harvesting'!N62</f>
        <v>0</v>
      </c>
      <c r="O62" s="48">
        <f>'Growing &amp; harvesting'!N61</f>
        <v>0</v>
      </c>
      <c r="P62" s="48">
        <f>'Growing &amp; harvesting'!P62</f>
        <v>0</v>
      </c>
      <c r="Q62" s="48">
        <f>'Growing &amp; harvesting'!P61</f>
        <v>0</v>
      </c>
      <c r="R62" s="48">
        <f>'Growing &amp; harvesting'!R62</f>
        <v>0</v>
      </c>
      <c r="S62" s="48">
        <f>'Growing &amp; harvesting'!R61</f>
        <v>0</v>
      </c>
    </row>
    <row r="63" spans="2:19">
      <c r="B63" s="47"/>
      <c r="C63" s="48">
        <f>'Growing &amp; harvesting'!D64</f>
        <v>0</v>
      </c>
      <c r="D63" s="48"/>
      <c r="E63" s="48">
        <f>'Growing &amp; harvesting'!D63</f>
        <v>0</v>
      </c>
      <c r="F63" s="48">
        <f>'Growing &amp; harvesting'!F64</f>
        <v>0</v>
      </c>
      <c r="G63" s="48">
        <f>'Growing &amp; harvesting'!F63</f>
        <v>0</v>
      </c>
      <c r="H63" s="48">
        <f>'Growing &amp; harvesting'!H64</f>
        <v>0</v>
      </c>
      <c r="I63" s="48">
        <f>'Growing &amp; harvesting'!H63</f>
        <v>0</v>
      </c>
      <c r="J63" s="48">
        <f>'Growing &amp; harvesting'!J64</f>
        <v>0</v>
      </c>
      <c r="K63" s="48">
        <f>'Growing &amp; harvesting'!J63</f>
        <v>0</v>
      </c>
      <c r="L63" s="48">
        <f>'Growing &amp; harvesting'!L64</f>
        <v>0</v>
      </c>
      <c r="M63" s="48">
        <f>'Growing &amp; harvesting'!L63</f>
        <v>0</v>
      </c>
      <c r="N63" s="48">
        <f>'Growing &amp; harvesting'!N64</f>
        <v>0</v>
      </c>
      <c r="O63" s="48">
        <f>'Growing &amp; harvesting'!N63</f>
        <v>0</v>
      </c>
      <c r="P63" s="48">
        <f>'Growing &amp; harvesting'!P64</f>
        <v>0</v>
      </c>
      <c r="Q63" s="48">
        <f>'Growing &amp; harvesting'!P63</f>
        <v>0</v>
      </c>
      <c r="R63" s="48">
        <f>'Growing &amp; harvesting'!R64</f>
        <v>0</v>
      </c>
      <c r="S63" s="48">
        <f>'Growing &amp; harvesting'!R63</f>
        <v>0</v>
      </c>
    </row>
    <row r="64" spans="2:19">
      <c r="B64" s="49" t="s">
        <v>231</v>
      </c>
      <c r="C64" s="50">
        <f>SUM(C60:C63)</f>
        <v>0</v>
      </c>
      <c r="D64" s="49"/>
      <c r="E64" s="50">
        <f t="shared" ref="E64:S64" si="0">SUM(E60:E63)</f>
        <v>80</v>
      </c>
      <c r="F64" s="50">
        <f t="shared" si="0"/>
        <v>0</v>
      </c>
      <c r="G64" s="50">
        <f t="shared" si="0"/>
        <v>0</v>
      </c>
      <c r="H64" s="50">
        <f t="shared" si="0"/>
        <v>0</v>
      </c>
      <c r="I64" s="50">
        <f t="shared" si="0"/>
        <v>0</v>
      </c>
      <c r="J64" s="50">
        <f t="shared" si="0"/>
        <v>0</v>
      </c>
      <c r="K64" s="50">
        <f t="shared" si="0"/>
        <v>0</v>
      </c>
      <c r="L64" s="50">
        <f t="shared" si="0"/>
        <v>0</v>
      </c>
      <c r="M64" s="50">
        <f t="shared" si="0"/>
        <v>0</v>
      </c>
      <c r="N64" s="50">
        <f t="shared" si="0"/>
        <v>0</v>
      </c>
      <c r="O64" s="50">
        <f t="shared" si="0"/>
        <v>0</v>
      </c>
      <c r="P64" s="50">
        <f t="shared" si="0"/>
        <v>0</v>
      </c>
      <c r="Q64" s="50">
        <f t="shared" si="0"/>
        <v>0</v>
      </c>
      <c r="R64" s="50">
        <f t="shared" si="0"/>
        <v>0</v>
      </c>
      <c r="S64" s="50">
        <f t="shared" si="0"/>
        <v>0</v>
      </c>
    </row>
    <row r="65" spans="2:19">
      <c r="B65" s="39"/>
      <c r="C65" s="48"/>
      <c r="D65" s="39"/>
      <c r="E65" s="48"/>
      <c r="F65" s="48"/>
      <c r="G65" s="48"/>
      <c r="H65" s="48"/>
      <c r="I65" s="48"/>
      <c r="J65" s="48"/>
      <c r="K65" s="48"/>
      <c r="L65" s="48"/>
      <c r="M65" s="48"/>
      <c r="N65" s="48"/>
      <c r="O65" s="48"/>
      <c r="P65" s="48"/>
      <c r="Q65" s="48"/>
      <c r="R65" s="48"/>
      <c r="S65" s="48"/>
    </row>
    <row r="66" spans="2:19">
      <c r="B66" s="49" t="s">
        <v>296</v>
      </c>
      <c r="C66" s="50">
        <f>C64+C58+C50+C45+C37</f>
        <v>375</v>
      </c>
      <c r="D66" s="49"/>
      <c r="E66" s="50">
        <f t="shared" ref="E66:S66" si="1">E64+E58+E50+E45+E37</f>
        <v>235</v>
      </c>
      <c r="F66" s="50">
        <f t="shared" si="1"/>
        <v>0</v>
      </c>
      <c r="G66" s="50">
        <f t="shared" si="1"/>
        <v>75</v>
      </c>
      <c r="H66" s="50">
        <f t="shared" si="1"/>
        <v>0</v>
      </c>
      <c r="I66" s="50">
        <f t="shared" si="1"/>
        <v>0</v>
      </c>
      <c r="J66" s="50">
        <f t="shared" si="1"/>
        <v>0</v>
      </c>
      <c r="K66" s="50">
        <f t="shared" si="1"/>
        <v>0</v>
      </c>
      <c r="L66" s="50">
        <f t="shared" si="1"/>
        <v>0</v>
      </c>
      <c r="M66" s="50">
        <f t="shared" si="1"/>
        <v>0</v>
      </c>
      <c r="N66" s="50">
        <f t="shared" si="1"/>
        <v>0</v>
      </c>
      <c r="O66" s="50">
        <f t="shared" si="1"/>
        <v>0</v>
      </c>
      <c r="P66" s="50">
        <f t="shared" si="1"/>
        <v>0</v>
      </c>
      <c r="Q66" s="50">
        <f t="shared" si="1"/>
        <v>0</v>
      </c>
      <c r="R66" s="50">
        <f t="shared" si="1"/>
        <v>0</v>
      </c>
      <c r="S66" s="50">
        <f t="shared" si="1"/>
        <v>0</v>
      </c>
    </row>
    <row r="67" spans="2:19">
      <c r="B67" s="39"/>
      <c r="C67" s="48"/>
      <c r="D67" s="39"/>
      <c r="E67" s="48"/>
      <c r="F67" s="48"/>
      <c r="G67" s="48"/>
      <c r="H67" s="48"/>
      <c r="I67" s="48"/>
      <c r="J67" s="48"/>
      <c r="K67" s="48"/>
      <c r="L67" s="48"/>
      <c r="M67" s="48"/>
      <c r="N67" s="48"/>
      <c r="O67" s="48"/>
      <c r="P67" s="48"/>
      <c r="Q67" s="48"/>
      <c r="R67" s="48"/>
      <c r="S67" s="48"/>
    </row>
    <row r="68" spans="2:19">
      <c r="B68" s="49" t="s">
        <v>236</v>
      </c>
      <c r="C68" s="50">
        <f>SUM(C23,C37,C45,C50,C58,C64)</f>
        <v>875</v>
      </c>
      <c r="D68" s="50"/>
      <c r="E68" s="50">
        <f>SUM(E23,E37,E45,E64)</f>
        <v>335</v>
      </c>
      <c r="F68" s="50">
        <f>SUM(F37,F45,F50,F58,F64)</f>
        <v>0</v>
      </c>
      <c r="G68" s="50">
        <f>SUM(G37,G45,G64)</f>
        <v>75</v>
      </c>
      <c r="H68" s="50">
        <f>SUM(H37,H45,H50,H58,H64)</f>
        <v>0</v>
      </c>
      <c r="I68" s="50">
        <f>SUM(I37,I45,I64)</f>
        <v>0</v>
      </c>
      <c r="J68" s="50">
        <f>SUM(J37,J45,J50,J58,J64)</f>
        <v>0</v>
      </c>
      <c r="K68" s="50">
        <f>SUM(K37,K45,K64)</f>
        <v>0</v>
      </c>
      <c r="L68" s="50">
        <f>SUM(L37,L45,L50,L58,L64)</f>
        <v>0</v>
      </c>
      <c r="M68" s="50">
        <f>SUM(M37,M45,M64)</f>
        <v>0</v>
      </c>
      <c r="N68" s="50">
        <f>SUM(N37,N45,N50,N58,N64)</f>
        <v>0</v>
      </c>
      <c r="O68" s="50">
        <f>SUM(O37,O45,O64)</f>
        <v>0</v>
      </c>
      <c r="P68" s="50">
        <f>SUM(P37,P45,P50,P58,P64)</f>
        <v>0</v>
      </c>
      <c r="Q68" s="50">
        <f>SUM(Q37,Q45,Q64)</f>
        <v>0</v>
      </c>
      <c r="R68" s="50">
        <f>SUM(R37,R45,R50,R58,R64)</f>
        <v>0</v>
      </c>
      <c r="S68" s="50">
        <f>SUM(S37,S45,S64)</f>
        <v>0</v>
      </c>
    </row>
    <row r="69" spans="2:19">
      <c r="B69" s="63" t="s">
        <v>237</v>
      </c>
      <c r="C69" s="64">
        <f>SUM(C68,E68,F68,G68,H68,I68,J68,K68,L68,M68,N68,O68,P68,Q68,R68,S68)</f>
        <v>1285</v>
      </c>
      <c r="D69" s="64"/>
      <c r="E69" s="64"/>
      <c r="F69" s="65"/>
      <c r="G69" s="65"/>
      <c r="H69" s="65"/>
      <c r="I69" s="65"/>
      <c r="J69" s="65"/>
      <c r="K69" s="65"/>
      <c r="L69" s="65"/>
      <c r="M69" s="65"/>
      <c r="N69" s="65"/>
      <c r="O69" s="65"/>
      <c r="P69" s="65"/>
      <c r="Q69" s="65"/>
      <c r="R69" s="65"/>
      <c r="S69" s="65"/>
    </row>
    <row r="70" spans="2:19">
      <c r="B70" s="63" t="s">
        <v>238</v>
      </c>
      <c r="C70" s="64">
        <f>SUM(C68,F68,H68,J68,L68,N68,P68,R68)</f>
        <v>875</v>
      </c>
      <c r="D70" s="64"/>
      <c r="E70" s="64"/>
      <c r="F70" s="65"/>
      <c r="G70" s="65"/>
      <c r="H70" s="65"/>
      <c r="I70" s="65"/>
      <c r="J70" s="65"/>
      <c r="K70" s="65"/>
      <c r="L70" s="65"/>
      <c r="M70" s="65"/>
      <c r="N70" s="65"/>
      <c r="O70" s="65"/>
      <c r="P70" s="65"/>
      <c r="Q70" s="65"/>
      <c r="R70" s="65"/>
      <c r="S70" s="65"/>
    </row>
    <row r="71" spans="2:19">
      <c r="B71" s="63" t="s">
        <v>239</v>
      </c>
      <c r="C71" s="64">
        <f>SUM(E68,G68,I68,K68,M68,O68,Q68,S68)</f>
        <v>410</v>
      </c>
      <c r="D71" s="64"/>
      <c r="E71" s="64"/>
      <c r="F71" s="65"/>
      <c r="G71" s="65"/>
      <c r="H71" s="65"/>
      <c r="I71" s="65"/>
      <c r="J71" s="65"/>
      <c r="K71" s="65"/>
      <c r="L71" s="65"/>
      <c r="M71" s="65"/>
      <c r="N71" s="65"/>
      <c r="O71" s="65"/>
      <c r="P71" s="65"/>
      <c r="Q71" s="65"/>
      <c r="R71" s="65"/>
      <c r="S71" s="65"/>
    </row>
    <row r="72" spans="2:19">
      <c r="B72" s="40" t="s">
        <v>240</v>
      </c>
    </row>
    <row r="73" spans="2:19">
      <c r="B73" s="66">
        <f>IFERROR((B75/2.47105381),0)</f>
        <v>104.00421025230527</v>
      </c>
    </row>
    <row r="74" spans="2:19">
      <c r="B74" s="41" t="s">
        <v>241</v>
      </c>
    </row>
    <row r="75" spans="2:19">
      <c r="B75" s="66">
        <f>IFERROR((C69)/PlotSizeHa,0)</f>
        <v>257</v>
      </c>
    </row>
    <row r="76" spans="2:19">
      <c r="B76" s="41" t="s">
        <v>242</v>
      </c>
    </row>
    <row r="77" spans="2:19">
      <c r="B77" s="67">
        <f>SUM('Pre-planting costs'!D3,'Pre-planting costs'!D4,'Pre-planting costs'!D5,'Pre-planting costs'!D6,'Pre-planting costs'!D15,'Pre-planting costs'!D16,'Pre-planting costs'!D17,'Pre-planting costs'!D18,'Pre-planting costs'!D19,'Pre-planting costs'!D20,'Pre-planting costs'!D21,'Pre-planting costs'!D8,'Pre-planting costs'!D9,'Pre-planting costs'!D10,'Pre-planting costs'!D11,'Pre-planting costs'!D12,'Pre-planting costs'!D13)</f>
        <v>600</v>
      </c>
    </row>
  </sheetData>
  <mergeCells count="9">
    <mergeCell ref="N24:O24"/>
    <mergeCell ref="P24:Q24"/>
    <mergeCell ref="R24:S24"/>
    <mergeCell ref="V5:X5"/>
    <mergeCell ref="C24:E24"/>
    <mergeCell ref="F24:G24"/>
    <mergeCell ref="H24:I24"/>
    <mergeCell ref="J24:K24"/>
    <mergeCell ref="L24:M24"/>
  </mergeCells>
  <conditionalFormatting sqref="B5:B22">
    <cfRule type="cellIs" dxfId="21" priority="58" operator="equal">
      <formula>100</formula>
    </cfRule>
  </conditionalFormatting>
  <conditionalFormatting sqref="B26:B36">
    <cfRule type="cellIs" dxfId="20" priority="77" operator="equal">
      <formula>100</formula>
    </cfRule>
  </conditionalFormatting>
  <conditionalFormatting sqref="B39:B44">
    <cfRule type="cellIs" dxfId="19" priority="80" operator="equal">
      <formula>100</formula>
    </cfRule>
  </conditionalFormatting>
  <conditionalFormatting sqref="B47:B50">
    <cfRule type="cellIs" dxfId="18" priority="68" operator="equal">
      <formula>100</formula>
    </cfRule>
  </conditionalFormatting>
  <conditionalFormatting sqref="B53:B57">
    <cfRule type="cellIs" dxfId="17" priority="79" operator="equal">
      <formula>100</formula>
    </cfRule>
  </conditionalFormatting>
  <conditionalFormatting sqref="B60:B63">
    <cfRule type="cellIs" dxfId="16" priority="78" operator="equal">
      <formula>100</formula>
    </cfRule>
  </conditionalFormatting>
  <conditionalFormatting sqref="B4:E4 C6:E6 C10:E10">
    <cfRule type="cellIs" dxfId="15" priority="81" operator="equal">
      <formula>100</formula>
    </cfRule>
  </conditionalFormatting>
  <conditionalFormatting sqref="C7:C9">
    <cfRule type="cellIs" dxfId="14" priority="31" operator="equal">
      <formula>100</formula>
    </cfRule>
  </conditionalFormatting>
  <conditionalFormatting sqref="C11:C22">
    <cfRule type="cellIs" dxfId="13" priority="32" operator="equal">
      <formula>100</formula>
    </cfRule>
  </conditionalFormatting>
  <conditionalFormatting sqref="C17:C22">
    <cfRule type="containsText" dxfId="12" priority="33" operator="containsText" text="100">
      <formula>NOT(ISERROR(SEARCH("100",C17)))</formula>
    </cfRule>
  </conditionalFormatting>
  <conditionalFormatting sqref="D7">
    <cfRule type="cellIs" dxfId="11" priority="57" operator="equal">
      <formula>100</formula>
    </cfRule>
  </conditionalFormatting>
  <conditionalFormatting sqref="D26:D35">
    <cfRule type="cellIs" dxfId="10" priority="56" operator="equal">
      <formula>100</formula>
    </cfRule>
  </conditionalFormatting>
  <conditionalFormatting sqref="D39:D44">
    <cfRule type="cellIs" dxfId="9" priority="52" operator="equal">
      <formula>100</formula>
    </cfRule>
  </conditionalFormatting>
  <conditionalFormatting sqref="D60:D63">
    <cfRule type="cellIs" dxfId="8" priority="49" operator="equal">
      <formula>100</formula>
    </cfRule>
  </conditionalFormatting>
  <conditionalFormatting sqref="D11:E11">
    <cfRule type="cellIs" dxfId="7" priority="44" operator="equal">
      <formula>100</formula>
    </cfRule>
  </conditionalFormatting>
  <conditionalFormatting sqref="D17:E18">
    <cfRule type="cellIs" dxfId="6" priority="42" operator="equal">
      <formula>100</formula>
    </cfRule>
  </conditionalFormatting>
  <conditionalFormatting sqref="E7:E9">
    <cfRule type="cellIs" dxfId="5" priority="45" operator="equal">
      <formula>100</formula>
    </cfRule>
  </conditionalFormatting>
  <conditionalFormatting sqref="E19">
    <cfRule type="cellIs" dxfId="4" priority="43" operator="equal">
      <formula>0</formula>
    </cfRule>
  </conditionalFormatting>
  <conditionalFormatting sqref="N3:N7">
    <cfRule type="containsErrors" dxfId="3" priority="75">
      <formula>ISERROR(N3)</formula>
    </cfRule>
    <cfRule type="containsErrors" priority="76">
      <formula>ISERROR(N3)</formula>
    </cfRule>
  </conditionalFormatting>
  <conditionalFormatting sqref="V3:X3">
    <cfRule type="containsErrors" dxfId="2" priority="3">
      <formula>ISERROR(V3)</formula>
    </cfRule>
    <cfRule type="containsErrors" priority="4">
      <formula>ISERROR(V3)</formula>
    </cfRule>
  </conditionalFormatting>
  <conditionalFormatting sqref="V5:X7">
    <cfRule type="containsErrors" dxfId="1" priority="1">
      <formula>ISERROR(V5)</formula>
    </cfRule>
    <cfRule type="containsErrors" priority="2">
      <formula>ISERROR(V5)</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A8D79-0592-4362-9BD8-1967F666F9AF}">
  <dimension ref="A1:AY34"/>
  <sheetViews>
    <sheetView topLeftCell="AQ1" workbookViewId="0">
      <selection activeCell="AT12" sqref="AT12"/>
    </sheetView>
  </sheetViews>
  <sheetFormatPr defaultColWidth="8.796875" defaultRowHeight="14"/>
  <cols>
    <col min="1" max="1" width="11.69921875" customWidth="1"/>
    <col min="3" max="3" width="21.5" customWidth="1"/>
    <col min="4" max="4" width="14.19921875" customWidth="1"/>
    <col min="6" max="6" width="28.796875" customWidth="1"/>
    <col min="7" max="7" width="14.5" customWidth="1"/>
    <col min="9" max="9" width="24.796875" customWidth="1"/>
    <col min="10" max="13" width="13" customWidth="1"/>
    <col min="14" max="14" width="4.296875" customWidth="1"/>
    <col min="15" max="15" width="13" customWidth="1"/>
    <col min="16" max="16" width="20.5" customWidth="1"/>
    <col min="17" max="17" width="26.19921875" customWidth="1"/>
    <col min="18" max="18" width="17.5" customWidth="1"/>
    <col min="20" max="20" width="24.19921875" customWidth="1"/>
    <col min="21" max="21" width="13.5" customWidth="1"/>
    <col min="24" max="24" width="16.5" customWidth="1"/>
    <col min="26" max="26" width="11.19921875" customWidth="1"/>
    <col min="28" max="28" width="19.5" customWidth="1"/>
    <col min="30" max="30" width="30.5" customWidth="1"/>
    <col min="32" max="32" width="23.19921875" customWidth="1"/>
    <col min="33" max="34" width="21.796875" customWidth="1"/>
    <col min="35" max="36" width="27.19921875" customWidth="1"/>
    <col min="37" max="38" width="30.796875" customWidth="1"/>
    <col min="39" max="39" width="26.5" customWidth="1"/>
    <col min="40" max="40" width="20.5" customWidth="1"/>
    <col min="41" max="41" width="25.5" customWidth="1"/>
    <col min="42" max="42" width="19.5" customWidth="1"/>
    <col min="43" max="43" width="20" customWidth="1"/>
    <col min="44" max="44" width="25.19921875" customWidth="1"/>
    <col min="45" max="45" width="26.5" customWidth="1"/>
    <col min="46" max="46" width="20" customWidth="1"/>
    <col min="48" max="48" width="24.5" customWidth="1"/>
    <col min="51" max="51" width="16.5" customWidth="1"/>
  </cols>
  <sheetData>
    <row r="1" spans="1:51" ht="27.95">
      <c r="A1" s="105" t="s">
        <v>299</v>
      </c>
      <c r="C1" s="17" t="s">
        <v>37</v>
      </c>
      <c r="D1" s="17" t="s">
        <v>38</v>
      </c>
      <c r="E1" s="17"/>
      <c r="F1" s="17" t="s">
        <v>39</v>
      </c>
      <c r="G1" s="17" t="s">
        <v>38</v>
      </c>
      <c r="I1" s="17" t="s">
        <v>40</v>
      </c>
      <c r="J1" s="17" t="s">
        <v>41</v>
      </c>
      <c r="K1" s="17"/>
      <c r="L1" t="s">
        <v>182</v>
      </c>
      <c r="M1" t="s">
        <v>183</v>
      </c>
      <c r="O1" t="s">
        <v>202</v>
      </c>
      <c r="Q1" s="17" t="s">
        <v>42</v>
      </c>
      <c r="R1" s="17" t="s">
        <v>41</v>
      </c>
      <c r="T1" s="17" t="s">
        <v>43</v>
      </c>
      <c r="U1" s="17" t="s">
        <v>41</v>
      </c>
      <c r="X1" t="s">
        <v>44</v>
      </c>
      <c r="Z1" t="s">
        <v>45</v>
      </c>
      <c r="AB1" t="s">
        <v>46</v>
      </c>
      <c r="AD1" t="s">
        <v>47</v>
      </c>
      <c r="AF1" s="18" t="s">
        <v>48</v>
      </c>
      <c r="AG1" s="19" t="s">
        <v>49</v>
      </c>
      <c r="AH1" s="19" t="s">
        <v>45</v>
      </c>
      <c r="AI1" s="17" t="s">
        <v>50</v>
      </c>
      <c r="AJ1" s="17" t="s">
        <v>51</v>
      </c>
      <c r="AK1" s="18" t="s">
        <v>52</v>
      </c>
      <c r="AL1" s="18" t="s">
        <v>53</v>
      </c>
      <c r="AM1" s="20" t="s">
        <v>54</v>
      </c>
      <c r="AN1" s="20" t="s">
        <v>45</v>
      </c>
      <c r="AO1" s="17" t="s">
        <v>55</v>
      </c>
      <c r="AP1" t="s">
        <v>45</v>
      </c>
      <c r="AQ1" s="17" t="s">
        <v>56</v>
      </c>
      <c r="AR1" s="17" t="s">
        <v>57</v>
      </c>
      <c r="AS1" s="17" t="s">
        <v>58</v>
      </c>
      <c r="AT1" t="s">
        <v>45</v>
      </c>
      <c r="AV1" t="s">
        <v>59</v>
      </c>
      <c r="AY1" t="s">
        <v>62</v>
      </c>
    </row>
    <row r="2" spans="1:51">
      <c r="A2" s="106" t="s">
        <v>324</v>
      </c>
      <c r="C2" t="s">
        <v>63</v>
      </c>
      <c r="D2" t="s">
        <v>64</v>
      </c>
      <c r="F2" t="s">
        <v>65</v>
      </c>
      <c r="I2" t="s">
        <v>66</v>
      </c>
      <c r="J2" t="s">
        <v>64</v>
      </c>
      <c r="L2" s="32" t="s">
        <v>323</v>
      </c>
      <c r="M2" s="32" t="s">
        <v>323</v>
      </c>
      <c r="N2" s="32"/>
      <c r="O2" s="32" t="s">
        <v>323</v>
      </c>
      <c r="Q2" t="s">
        <v>67</v>
      </c>
      <c r="R2" t="s">
        <v>68</v>
      </c>
      <c r="T2" t="s">
        <v>69</v>
      </c>
      <c r="U2" t="s">
        <v>70</v>
      </c>
      <c r="X2" t="s">
        <v>71</v>
      </c>
      <c r="Z2" s="32" t="s">
        <v>13</v>
      </c>
      <c r="AB2" t="s">
        <v>73</v>
      </c>
      <c r="AD2" t="s">
        <v>72</v>
      </c>
      <c r="AF2" t="s">
        <v>63</v>
      </c>
      <c r="AG2" s="17" t="s">
        <v>74</v>
      </c>
      <c r="AH2" s="17" t="s">
        <v>75</v>
      </c>
      <c r="AI2" s="32" t="s">
        <v>32</v>
      </c>
      <c r="AJ2" t="s">
        <v>77</v>
      </c>
      <c r="AK2" t="s">
        <v>76</v>
      </c>
      <c r="AL2" s="32" t="s">
        <v>31</v>
      </c>
      <c r="AM2" s="17" t="s">
        <v>74</v>
      </c>
      <c r="AN2" s="17" t="s">
        <v>75</v>
      </c>
      <c r="AO2" s="17" t="s">
        <v>74</v>
      </c>
      <c r="AP2" s="17" t="s">
        <v>75</v>
      </c>
      <c r="AQ2" s="17" t="s">
        <v>74</v>
      </c>
      <c r="AR2" s="17" t="s">
        <v>74</v>
      </c>
      <c r="AS2" s="17" t="s">
        <v>74</v>
      </c>
      <c r="AT2" s="17" t="s">
        <v>75</v>
      </c>
      <c r="AV2" t="s">
        <v>72</v>
      </c>
      <c r="AY2" t="s">
        <v>78</v>
      </c>
    </row>
    <row r="3" spans="1:51">
      <c r="A3" s="107" t="s">
        <v>300</v>
      </c>
      <c r="C3" s="21" t="s">
        <v>79</v>
      </c>
      <c r="D3" t="s">
        <v>68</v>
      </c>
      <c r="F3" t="s">
        <v>80</v>
      </c>
      <c r="G3" t="s">
        <v>68</v>
      </c>
      <c r="I3" t="s">
        <v>81</v>
      </c>
      <c r="J3" t="s">
        <v>68</v>
      </c>
      <c r="L3" t="s">
        <v>184</v>
      </c>
      <c r="M3" t="s">
        <v>185</v>
      </c>
      <c r="O3" t="s">
        <v>203</v>
      </c>
      <c r="Q3" t="s">
        <v>82</v>
      </c>
      <c r="R3" t="s">
        <v>68</v>
      </c>
      <c r="T3" t="s">
        <v>83</v>
      </c>
      <c r="X3" t="s">
        <v>84</v>
      </c>
      <c r="Z3" t="s">
        <v>72</v>
      </c>
      <c r="AB3" t="s">
        <v>86</v>
      </c>
      <c r="AD3" t="s">
        <v>85</v>
      </c>
      <c r="AG3" s="32" t="s">
        <v>32</v>
      </c>
      <c r="AH3" s="17"/>
      <c r="AI3" t="s">
        <v>76</v>
      </c>
      <c r="AK3" t="s">
        <v>89</v>
      </c>
      <c r="AL3" t="s">
        <v>77</v>
      </c>
      <c r="AM3" s="32" t="s">
        <v>32</v>
      </c>
      <c r="AN3" s="32" t="s">
        <v>31</v>
      </c>
      <c r="AO3" s="32" t="s">
        <v>32</v>
      </c>
      <c r="AP3" s="32" t="s">
        <v>31</v>
      </c>
      <c r="AQ3" s="32" t="s">
        <v>32</v>
      </c>
      <c r="AR3" s="32" t="s">
        <v>32</v>
      </c>
      <c r="AS3" s="32" t="s">
        <v>32</v>
      </c>
      <c r="AT3" s="32" t="s">
        <v>31</v>
      </c>
      <c r="AV3" t="s">
        <v>85</v>
      </c>
      <c r="AY3" t="s">
        <v>97</v>
      </c>
    </row>
    <row r="4" spans="1:51">
      <c r="A4" s="107" t="s">
        <v>64</v>
      </c>
      <c r="C4" s="21" t="s">
        <v>98</v>
      </c>
      <c r="D4" t="s">
        <v>64</v>
      </c>
      <c r="F4" t="s">
        <v>99</v>
      </c>
      <c r="I4" t="s">
        <v>99</v>
      </c>
      <c r="J4" t="s">
        <v>64</v>
      </c>
      <c r="L4" t="s">
        <v>186</v>
      </c>
      <c r="M4" t="s">
        <v>187</v>
      </c>
      <c r="O4" t="s">
        <v>204</v>
      </c>
      <c r="Q4" t="s">
        <v>100</v>
      </c>
      <c r="R4" t="s">
        <v>68</v>
      </c>
      <c r="T4" t="s">
        <v>101</v>
      </c>
      <c r="X4" t="s">
        <v>102</v>
      </c>
      <c r="Z4" t="s">
        <v>85</v>
      </c>
      <c r="AB4" t="s">
        <v>103</v>
      </c>
      <c r="AD4" t="s">
        <v>104</v>
      </c>
      <c r="AF4" s="4"/>
      <c r="AG4" t="s">
        <v>87</v>
      </c>
      <c r="AH4" s="32" t="s">
        <v>31</v>
      </c>
      <c r="AI4" t="s">
        <v>89</v>
      </c>
      <c r="AK4" t="s">
        <v>106</v>
      </c>
      <c r="AM4" t="s">
        <v>90</v>
      </c>
      <c r="AN4" t="s">
        <v>65</v>
      </c>
      <c r="AO4" t="s">
        <v>91</v>
      </c>
      <c r="AP4" t="s">
        <v>92</v>
      </c>
      <c r="AQ4" t="s">
        <v>93</v>
      </c>
      <c r="AR4" t="s">
        <v>94</v>
      </c>
      <c r="AS4" t="s">
        <v>95</v>
      </c>
      <c r="AT4" t="s">
        <v>96</v>
      </c>
      <c r="AY4" t="s">
        <v>112</v>
      </c>
    </row>
    <row r="5" spans="1:51">
      <c r="A5" s="108" t="s">
        <v>301</v>
      </c>
      <c r="C5" s="21" t="s">
        <v>113</v>
      </c>
      <c r="D5" t="s">
        <v>68</v>
      </c>
      <c r="F5" t="s">
        <v>108</v>
      </c>
      <c r="G5" t="s">
        <v>68</v>
      </c>
      <c r="I5" t="s">
        <v>114</v>
      </c>
      <c r="J5" t="s">
        <v>68</v>
      </c>
      <c r="L5" t="s">
        <v>189</v>
      </c>
      <c r="M5" t="s">
        <v>190</v>
      </c>
      <c r="O5" t="s">
        <v>205</v>
      </c>
      <c r="Q5" s="4" t="s">
        <v>115</v>
      </c>
      <c r="R5" t="s">
        <v>68</v>
      </c>
      <c r="T5" t="s">
        <v>116</v>
      </c>
      <c r="U5" t="s">
        <v>117</v>
      </c>
      <c r="X5" t="s">
        <v>118</v>
      </c>
      <c r="AB5" t="s">
        <v>119</v>
      </c>
      <c r="AD5" t="s">
        <v>120</v>
      </c>
      <c r="AG5" t="s">
        <v>105</v>
      </c>
      <c r="AH5" t="s">
        <v>88</v>
      </c>
      <c r="AI5" t="s">
        <v>106</v>
      </c>
      <c r="AK5" t="s">
        <v>123</v>
      </c>
      <c r="AM5" t="s">
        <v>107</v>
      </c>
      <c r="AN5" t="s">
        <v>77</v>
      </c>
      <c r="AO5" t="s">
        <v>108</v>
      </c>
      <c r="AP5" t="s">
        <v>99</v>
      </c>
      <c r="AQ5" t="s">
        <v>109</v>
      </c>
      <c r="AR5" t="s">
        <v>110</v>
      </c>
      <c r="AS5" t="s">
        <v>111</v>
      </c>
      <c r="AT5" t="s">
        <v>83</v>
      </c>
      <c r="AY5" t="s">
        <v>129</v>
      </c>
    </row>
    <row r="6" spans="1:51">
      <c r="C6" s="21" t="s">
        <v>130</v>
      </c>
      <c r="D6" t="s">
        <v>68</v>
      </c>
      <c r="F6" t="s">
        <v>131</v>
      </c>
      <c r="G6" t="s">
        <v>64</v>
      </c>
      <c r="I6" t="s">
        <v>132</v>
      </c>
      <c r="J6" t="s">
        <v>64</v>
      </c>
      <c r="L6" t="s">
        <v>192</v>
      </c>
      <c r="M6" t="s">
        <v>193</v>
      </c>
      <c r="Q6" s="4" t="s">
        <v>115</v>
      </c>
      <c r="R6" t="s">
        <v>64</v>
      </c>
      <c r="T6" t="s">
        <v>128</v>
      </c>
      <c r="U6" t="s">
        <v>133</v>
      </c>
      <c r="AB6" t="s">
        <v>134</v>
      </c>
      <c r="AD6" t="s">
        <v>135</v>
      </c>
      <c r="AG6" t="s">
        <v>121</v>
      </c>
      <c r="AI6" t="s">
        <v>122</v>
      </c>
      <c r="AK6" t="s">
        <v>124</v>
      </c>
      <c r="AM6" t="s">
        <v>124</v>
      </c>
      <c r="AN6" t="s">
        <v>99</v>
      </c>
      <c r="AO6" t="s">
        <v>125</v>
      </c>
      <c r="AP6" t="s">
        <v>126</v>
      </c>
      <c r="AQ6" t="s">
        <v>127</v>
      </c>
      <c r="AR6" t="s">
        <v>100</v>
      </c>
      <c r="AS6" t="s">
        <v>128</v>
      </c>
      <c r="AT6" t="s">
        <v>101</v>
      </c>
      <c r="AV6" s="4" t="s">
        <v>142</v>
      </c>
      <c r="AY6" t="s">
        <v>143</v>
      </c>
    </row>
    <row r="7" spans="1:51" ht="27.95">
      <c r="C7" s="22" t="s">
        <v>144</v>
      </c>
      <c r="D7" t="s">
        <v>68</v>
      </c>
      <c r="F7" t="s">
        <v>145</v>
      </c>
      <c r="G7" t="s">
        <v>64</v>
      </c>
      <c r="L7" t="s">
        <v>195</v>
      </c>
      <c r="M7" t="s">
        <v>196</v>
      </c>
      <c r="Q7" t="s">
        <v>146</v>
      </c>
      <c r="R7" t="s">
        <v>147</v>
      </c>
      <c r="T7" t="s">
        <v>93</v>
      </c>
      <c r="U7" t="s">
        <v>70</v>
      </c>
      <c r="X7" t="s">
        <v>148</v>
      </c>
      <c r="AI7" t="s">
        <v>136</v>
      </c>
      <c r="AM7" t="s">
        <v>108</v>
      </c>
      <c r="AN7" t="s">
        <v>126</v>
      </c>
      <c r="AO7" s="4" t="s">
        <v>137</v>
      </c>
      <c r="AP7" t="s">
        <v>138</v>
      </c>
      <c r="AQ7" s="104" t="s">
        <v>322</v>
      </c>
      <c r="AR7" t="s">
        <v>139</v>
      </c>
      <c r="AS7" s="4" t="s">
        <v>140</v>
      </c>
      <c r="AT7" t="s">
        <v>141</v>
      </c>
      <c r="AV7" t="s">
        <v>60</v>
      </c>
    </row>
    <row r="8" spans="1:51" ht="27.95">
      <c r="C8" s="21" t="s">
        <v>153</v>
      </c>
      <c r="D8" t="s">
        <v>68</v>
      </c>
      <c r="F8" t="s">
        <v>154</v>
      </c>
      <c r="G8" t="s">
        <v>68</v>
      </c>
      <c r="L8" t="s">
        <v>198</v>
      </c>
      <c r="M8" t="s">
        <v>199</v>
      </c>
      <c r="T8" t="s">
        <v>96</v>
      </c>
      <c r="X8" s="32" t="s">
        <v>323</v>
      </c>
      <c r="AI8" t="s">
        <v>123</v>
      </c>
      <c r="AM8" t="s">
        <v>125</v>
      </c>
      <c r="AN8" t="s">
        <v>149</v>
      </c>
      <c r="AO8" s="4" t="s">
        <v>150</v>
      </c>
      <c r="AP8" t="s">
        <v>151</v>
      </c>
      <c r="AR8" t="s">
        <v>152</v>
      </c>
      <c r="AV8" s="4" t="s">
        <v>61</v>
      </c>
    </row>
    <row r="9" spans="1:51">
      <c r="C9" s="21" t="s">
        <v>158</v>
      </c>
      <c r="D9" t="s">
        <v>68</v>
      </c>
      <c r="F9" t="s">
        <v>159</v>
      </c>
      <c r="G9" t="s">
        <v>68</v>
      </c>
      <c r="M9" t="s">
        <v>200</v>
      </c>
      <c r="T9" t="s">
        <v>111</v>
      </c>
      <c r="U9" t="s">
        <v>70</v>
      </c>
      <c r="X9">
        <v>1</v>
      </c>
      <c r="AI9" t="s">
        <v>155</v>
      </c>
      <c r="AM9" t="s">
        <v>156</v>
      </c>
      <c r="AN9" t="s">
        <v>157</v>
      </c>
      <c r="AO9" t="s">
        <v>132</v>
      </c>
      <c r="AP9" s="104" t="s">
        <v>77</v>
      </c>
    </row>
    <row r="10" spans="1:51" ht="27.95">
      <c r="C10" s="21" t="s">
        <v>162</v>
      </c>
      <c r="D10" t="s">
        <v>163</v>
      </c>
      <c r="F10" t="s">
        <v>164</v>
      </c>
      <c r="G10" t="s">
        <v>68</v>
      </c>
      <c r="M10" t="s">
        <v>201</v>
      </c>
      <c r="T10" s="4" t="s">
        <v>140</v>
      </c>
      <c r="U10" t="s">
        <v>68</v>
      </c>
      <c r="X10">
        <v>2</v>
      </c>
      <c r="AM10" t="s">
        <v>160</v>
      </c>
      <c r="AN10" t="s">
        <v>161</v>
      </c>
      <c r="AO10" s="104" t="s">
        <v>321</v>
      </c>
      <c r="AV10" t="s">
        <v>166</v>
      </c>
    </row>
    <row r="11" spans="1:51">
      <c r="C11" s="23" t="s">
        <v>158</v>
      </c>
      <c r="D11" t="s">
        <v>64</v>
      </c>
      <c r="F11" t="s">
        <v>167</v>
      </c>
      <c r="G11" t="s">
        <v>64</v>
      </c>
      <c r="R11" t="s">
        <v>168</v>
      </c>
      <c r="X11">
        <v>3</v>
      </c>
      <c r="AM11" t="s">
        <v>165</v>
      </c>
      <c r="AV11" s="32" t="s">
        <v>13</v>
      </c>
    </row>
    <row r="12" spans="1:51">
      <c r="F12" t="s">
        <v>107</v>
      </c>
      <c r="G12" t="s">
        <v>68</v>
      </c>
      <c r="I12" s="24"/>
      <c r="R12" s="25" t="s">
        <v>171</v>
      </c>
      <c r="T12" t="s">
        <v>45</v>
      </c>
      <c r="X12">
        <v>4</v>
      </c>
      <c r="AM12" t="s">
        <v>169</v>
      </c>
      <c r="AV12" t="s">
        <v>170</v>
      </c>
    </row>
    <row r="13" spans="1:51" ht="27.95">
      <c r="F13" t="s">
        <v>126</v>
      </c>
      <c r="G13" t="s">
        <v>174</v>
      </c>
      <c r="I13" s="24"/>
      <c r="R13" s="26" t="s">
        <v>175</v>
      </c>
      <c r="T13" s="17" t="s">
        <v>176</v>
      </c>
      <c r="X13">
        <v>5</v>
      </c>
      <c r="AM13" s="4" t="s">
        <v>172</v>
      </c>
      <c r="AV13" t="s">
        <v>173</v>
      </c>
    </row>
    <row r="14" spans="1:51">
      <c r="F14" t="s">
        <v>178</v>
      </c>
      <c r="G14" t="s">
        <v>68</v>
      </c>
      <c r="I14" s="24"/>
      <c r="R14" s="25" t="s">
        <v>179</v>
      </c>
      <c r="T14" s="17" t="s">
        <v>180</v>
      </c>
      <c r="X14">
        <v>6</v>
      </c>
      <c r="AM14" t="s">
        <v>132</v>
      </c>
      <c r="AV14" t="s">
        <v>177</v>
      </c>
    </row>
    <row r="15" spans="1:51">
      <c r="F15" t="s">
        <v>77</v>
      </c>
      <c r="G15" t="s">
        <v>174</v>
      </c>
      <c r="I15" s="24"/>
      <c r="R15" s="27" t="s">
        <v>181</v>
      </c>
      <c r="X15">
        <v>7</v>
      </c>
    </row>
    <row r="16" spans="1:51">
      <c r="F16" t="s">
        <v>124</v>
      </c>
      <c r="G16" t="s">
        <v>68</v>
      </c>
      <c r="I16" s="24"/>
      <c r="X16">
        <v>8</v>
      </c>
    </row>
    <row r="17" spans="6:24">
      <c r="F17" t="s">
        <v>132</v>
      </c>
      <c r="G17" t="s">
        <v>68</v>
      </c>
      <c r="I17" s="24"/>
      <c r="X17">
        <v>9</v>
      </c>
    </row>
    <row r="18" spans="6:24">
      <c r="I18" s="24"/>
      <c r="X18">
        <v>10</v>
      </c>
    </row>
    <row r="19" spans="6:24">
      <c r="I19" s="24"/>
    </row>
    <row r="20" spans="6:24">
      <c r="I20" s="24"/>
      <c r="X20" t="s">
        <v>188</v>
      </c>
    </row>
    <row r="21" spans="6:24">
      <c r="I21" s="24"/>
      <c r="X21" s="32" t="s">
        <v>13</v>
      </c>
    </row>
    <row r="22" spans="6:24">
      <c r="I22" s="24"/>
      <c r="X22" t="s">
        <v>191</v>
      </c>
    </row>
    <row r="23" spans="6:24">
      <c r="I23" s="24"/>
      <c r="X23" t="s">
        <v>194</v>
      </c>
    </row>
    <row r="24" spans="6:24">
      <c r="I24" s="28"/>
      <c r="X24" t="s">
        <v>197</v>
      </c>
    </row>
    <row r="25" spans="6:24">
      <c r="I25" s="29"/>
    </row>
    <row r="26" spans="6:24">
      <c r="I26" s="29"/>
    </row>
    <row r="27" spans="6:24">
      <c r="I27" s="29"/>
    </row>
    <row r="28" spans="6:24">
      <c r="I28" s="29"/>
    </row>
    <row r="29" spans="6:24">
      <c r="I29" s="29"/>
    </row>
    <row r="30" spans="6:24">
      <c r="I30" s="29"/>
    </row>
    <row r="31" spans="6:24">
      <c r="I31" s="29"/>
    </row>
    <row r="32" spans="6:24">
      <c r="I32" s="29"/>
    </row>
    <row r="33" spans="9:9">
      <c r="I33" s="30"/>
    </row>
    <row r="34" spans="9:9">
      <c r="I34" s="30"/>
    </row>
  </sheetData>
  <conditionalFormatting sqref="G3:G17">
    <cfRule type="cellIs" dxfId="0" priority="1" operator="equal">
      <formula>100</formula>
    </cfRule>
  </conditionalFormatting>
  <pageMargins left="0.7" right="0.7" top="0.75" bottom="0.75" header="0.3" footer="0.3"/>
  <pageSetup paperSize="9" orientation="portrait" r:id="rId1"/>
  <tableParts count="2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19</vt:i4>
      </vt:variant>
    </vt:vector>
  </HeadingPairs>
  <TitlesOfParts>
    <vt:vector size="28" baseType="lpstr">
      <vt:lpstr>Introduction</vt:lpstr>
      <vt:lpstr>Farm plot info</vt:lpstr>
      <vt:lpstr>Pre-planting costs</vt:lpstr>
      <vt:lpstr>Growing &amp; harvesting</vt:lpstr>
      <vt:lpstr>Outputs</vt:lpstr>
      <vt:lpstr>Silage info</vt:lpstr>
      <vt:lpstr>Feed library</vt:lpstr>
      <vt:lpstr>CALCULATIONS</vt:lpstr>
      <vt:lpstr>Validation tables</vt:lpstr>
      <vt:lpstr>BailingMethods</vt:lpstr>
      <vt:lpstr>CompactionMethod</vt:lpstr>
      <vt:lpstr>CompactionQuality</vt:lpstr>
      <vt:lpstr>EnsilingMethods</vt:lpstr>
      <vt:lpstr>FirstCuttingYieldType</vt:lpstr>
      <vt:lpstr>FirstCuttingYieldValue</vt:lpstr>
      <vt:lpstr>HarvestingActivity</vt:lpstr>
      <vt:lpstr>LandTenure</vt:lpstr>
      <vt:lpstr>LandTenureCost</vt:lpstr>
      <vt:lpstr>ManualMechanical</vt:lpstr>
      <vt:lpstr>PlotSizeHa</vt:lpstr>
      <vt:lpstr>PrePlantingActivitiesCosts</vt:lpstr>
      <vt:lpstr>PrePlantingInputsCosts</vt:lpstr>
      <vt:lpstr>Outputs!Print_Area</vt:lpstr>
      <vt:lpstr>QualityRanking</vt:lpstr>
      <vt:lpstr>SelectedCurrency</vt:lpstr>
      <vt:lpstr>Years</vt:lpstr>
      <vt:lpstr>YesNo</vt:lpstr>
      <vt:lpstr>YieldUnit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Teun Mentzel</dc:creator>
  <cp:lastModifiedBy>Jos Creemers</cp:lastModifiedBy>
  <dcterms:created xsi:type="dcterms:W3CDTF">2024-08-17T08:52:07Z</dcterms:created>
  <dcterms:modified xsi:type="dcterms:W3CDTF">2024-11-26T13:39:41Z</dcterms:modified>
</cp:coreProperties>
</file>